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8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8.xml" ContentType="application/vnd.openxmlformats-officedocument.drawing+xml"/>
  <Override PartName="/xl/charts/chart9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harts/chart10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1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19.xml" ContentType="application/vnd.openxmlformats-officedocument.drawing+xml"/>
  <Override PartName="/xl/charts/chart12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3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4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5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Excel\Handex Excel\"/>
    </mc:Choice>
  </mc:AlternateContent>
  <xr:revisionPtr revIDLastSave="0" documentId="8_{24311FA1-6F02-4F45-AE09-84578E31C9C7}" xr6:coauthVersionLast="45" xr6:coauthVersionMax="45" xr10:uidLastSave="{00000000-0000-0000-0000-000000000000}"/>
  <bookViews>
    <workbookView xWindow="-120" yWindow="-120" windowWidth="20730" windowHeight="11160" firstSheet="46" activeTab="49" xr2:uid="{62F84EB4-8475-47BB-9728-10E66DA3CBA4}"/>
  </bookViews>
  <sheets>
    <sheet name="general formulas" sheetId="52" r:id="rId1"/>
    <sheet name="z-score" sheetId="1" r:id="rId2"/>
    <sheet name="data_analitics" sheetId="2" r:id="rId3"/>
    <sheet name="varian.,stdev.,covar. formulas" sheetId="42" r:id="rId4"/>
    <sheet name="correlation" sheetId="3" r:id="rId5"/>
    <sheet name="covariance" sheetId="6" r:id="rId6"/>
    <sheet name="portfolio_risk" sheetId="7" r:id="rId7"/>
    <sheet name="portfolio risk" sheetId="8" r:id="rId8"/>
    <sheet name="binom_1 dist" sheetId="9" r:id="rId9"/>
    <sheet name="binom_2 dist" sheetId="10" r:id="rId10"/>
    <sheet name="binom_3 dist" sheetId="13" r:id="rId11"/>
    <sheet name="z-score_2" sheetId="12" r:id="rId12"/>
    <sheet name="poisson dist" sheetId="14" r:id="rId13"/>
    <sheet name="normal dist" sheetId="15" r:id="rId14"/>
    <sheet name="normal dist_2" sheetId="16" r:id="rId15"/>
    <sheet name="sampling_dist" sheetId="17" r:id="rId16"/>
    <sheet name="samp.dist formulas" sheetId="45" r:id="rId17"/>
    <sheet name="Sheet1" sheetId="53" r:id="rId18"/>
    <sheet name="Sheet2" sheetId="54" r:id="rId19"/>
    <sheet name="sampling_dist-2" sheetId="18" r:id="rId20"/>
    <sheet name="confidence interval" sheetId="19" r:id="rId21"/>
    <sheet name="confidence interval formulas" sheetId="46" r:id="rId22"/>
    <sheet name="deter.samp.size" sheetId="20" r:id="rId23"/>
    <sheet name="confidence interval unknown std" sheetId="21" r:id="rId24"/>
    <sheet name="hypot. test two-tail siq. known" sheetId="22" r:id="rId25"/>
    <sheet name="hyp. test two-tail siq. unknown" sheetId="23" r:id="rId26"/>
    <sheet name="hypot. test one-tail siq. known" sheetId="24" r:id="rId27"/>
    <sheet name="hypot. test one-tail siq. kn_2" sheetId="25" r:id="rId28"/>
    <sheet name="two sample hypot. test formulas" sheetId="48" r:id="rId29"/>
    <sheet name="two sample test eq or uneq siq" sheetId="26" r:id="rId30"/>
    <sheet name="paired diffrence test" sheetId="27" r:id="rId31"/>
    <sheet name="ratio of pop varian. f test" sheetId="28" r:id="rId32"/>
    <sheet name="pop. proporton" sheetId="29" r:id="rId33"/>
    <sheet name="pop. proporton_2" sheetId="31" r:id="rId34"/>
    <sheet name="pop. proporton_3" sheetId="32" r:id="rId35"/>
    <sheet name="pop. pro. determin. sample size" sheetId="33" r:id="rId36"/>
    <sheet name="z test fior proportion" sheetId="34" r:id="rId37"/>
    <sheet name="two pop. propor. hypothes. test" sheetId="35" r:id="rId38"/>
    <sheet name="ANOVA formulas" sheetId="36" r:id="rId39"/>
    <sheet name="ANOVA" sheetId="37" r:id="rId40"/>
    <sheet name="Chi-square test-1" sheetId="38" r:id="rId41"/>
    <sheet name="Chi-square test-2" sheetId="39" r:id="rId42"/>
    <sheet name="Chi-square test-3" sheetId="40" r:id="rId43"/>
    <sheet name="LinearRegression_1" sheetId="41" r:id="rId44"/>
    <sheet name="LinearRegression_2" sheetId="44" r:id="rId45"/>
    <sheet name="LinearRegression_Formulas" sheetId="43" r:id="rId46"/>
    <sheet name="Multipl_Regression_1" sheetId="49" r:id="rId47"/>
    <sheet name="Multipl_Regression_Formulas" sheetId="51" r:id="rId48"/>
    <sheet name="Multipl_Regression_2" sheetId="50" r:id="rId49"/>
    <sheet name="SPSS Zscore" sheetId="55" r:id="rId50"/>
  </sheets>
  <definedNames>
    <definedName name="_xlnm._FilterDatabase" localSheetId="2" hidden="1">data_analitics!$E$2:$F$19</definedName>
    <definedName name="_xlchart.v1.0" hidden="1">data_analitics!$E$2</definedName>
    <definedName name="_xlchart.v1.1" hidden="1">data_analitics!$E$3:$E$20</definedName>
    <definedName name="solver_eng" localSheetId="46" hidden="1">1</definedName>
    <definedName name="solver_eng" localSheetId="29" hidden="1">1</definedName>
    <definedName name="solver_neg" localSheetId="46" hidden="1">1</definedName>
    <definedName name="solver_neg" localSheetId="29" hidden="1">1</definedName>
    <definedName name="solver_num" localSheetId="46" hidden="1">0</definedName>
    <definedName name="solver_num" localSheetId="29" hidden="1">0</definedName>
    <definedName name="solver_opt" localSheetId="46" hidden="1">Multipl_Regression_1!$R$4</definedName>
    <definedName name="solver_opt" localSheetId="29" hidden="1">'two sample test eq or uneq siq'!$G$13</definedName>
    <definedName name="solver_typ" localSheetId="46" hidden="1">1</definedName>
    <definedName name="solver_typ" localSheetId="29" hidden="1">1</definedName>
    <definedName name="solver_val" localSheetId="46" hidden="1">0</definedName>
    <definedName name="solver_val" localSheetId="29" hidden="1">0</definedName>
    <definedName name="solver_ver" localSheetId="46" hidden="1">3</definedName>
    <definedName name="solver_ver" localSheetId="29" hidden="1">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M3" i="10" l="1"/>
  <c r="G10" i="55" l="1"/>
  <c r="G17" i="55"/>
  <c r="G16" i="55"/>
  <c r="G15" i="55"/>
  <c r="G13" i="55"/>
  <c r="G12" i="55"/>
  <c r="G9" i="55"/>
  <c r="G8" i="55"/>
  <c r="L38" i="42" l="1"/>
  <c r="L37" i="42"/>
  <c r="L34" i="42"/>
  <c r="L35" i="42"/>
  <c r="L33" i="42"/>
  <c r="I41" i="42"/>
  <c r="I37" i="42"/>
  <c r="H37" i="42"/>
  <c r="O24" i="44" l="1"/>
  <c r="J7" i="21"/>
  <c r="L18" i="9" l="1"/>
  <c r="Q9" i="26" l="1"/>
  <c r="R21" i="49"/>
  <c r="AB35" i="49"/>
  <c r="AM35" i="49"/>
  <c r="S8" i="44" l="1"/>
  <c r="U37" i="49"/>
  <c r="S32" i="49" s="1"/>
  <c r="R32" i="49"/>
  <c r="R33" i="49"/>
  <c r="Q32" i="49"/>
  <c r="Q33" i="49"/>
  <c r="R22" i="49"/>
  <c r="Q22" i="49"/>
  <c r="Q21" i="49"/>
  <c r="J36" i="44"/>
  <c r="J27" i="44"/>
  <c r="J28" i="44"/>
  <c r="J29" i="44"/>
  <c r="J30" i="44"/>
  <c r="J31" i="44"/>
  <c r="J32" i="44"/>
  <c r="J33" i="44"/>
  <c r="J34" i="44"/>
  <c r="J35" i="44"/>
  <c r="J26" i="44"/>
  <c r="M26" i="49"/>
  <c r="M25" i="49"/>
  <c r="N18" i="44"/>
  <c r="N17" i="44"/>
  <c r="R14" i="44"/>
  <c r="Q18" i="49"/>
  <c r="P18" i="49"/>
  <c r="P17" i="49"/>
  <c r="E19" i="49"/>
  <c r="E5" i="50"/>
  <c r="E6" i="50"/>
  <c r="E7" i="50"/>
  <c r="E8" i="50"/>
  <c r="E9" i="50"/>
  <c r="E10" i="50"/>
  <c r="E11" i="50"/>
  <c r="E12" i="50"/>
  <c r="E13" i="50"/>
  <c r="E14" i="50"/>
  <c r="E15" i="50"/>
  <c r="E16" i="50"/>
  <c r="E17" i="50"/>
  <c r="E18" i="50"/>
  <c r="E19" i="50"/>
  <c r="E20" i="50"/>
  <c r="E21" i="50"/>
  <c r="E22" i="50"/>
  <c r="E4" i="50"/>
  <c r="T32" i="49" l="1"/>
  <c r="T33" i="49"/>
  <c r="S33" i="49"/>
  <c r="P24" i="44"/>
  <c r="P23" i="44"/>
  <c r="P25" i="44" s="1"/>
  <c r="G35" i="44" l="1"/>
  <c r="G32" i="44"/>
  <c r="G28" i="44"/>
  <c r="E26" i="44"/>
  <c r="G29" i="44" s="1"/>
  <c r="R19" i="44"/>
  <c r="L22" i="44"/>
  <c r="N23" i="44"/>
  <c r="N21" i="44"/>
  <c r="N22" i="44"/>
  <c r="G27" i="44" l="1"/>
  <c r="G31" i="44"/>
  <c r="G34" i="44"/>
  <c r="G30" i="44"/>
  <c r="G26" i="44"/>
  <c r="G33" i="44"/>
  <c r="S14" i="44"/>
  <c r="R13" i="44"/>
  <c r="R24" i="44"/>
  <c r="S24" i="44"/>
  <c r="R23" i="44"/>
  <c r="T11" i="44"/>
  <c r="S11" i="44"/>
  <c r="G36" i="44" l="1"/>
  <c r="G37" i="44" s="1"/>
  <c r="Q25" i="44" s="1"/>
  <c r="L18" i="41"/>
  <c r="E17" i="44"/>
  <c r="E18" i="44"/>
  <c r="Q19" i="44"/>
  <c r="F6" i="44"/>
  <c r="F7" i="44"/>
  <c r="F8" i="44"/>
  <c r="F9" i="44"/>
  <c r="F10" i="44"/>
  <c r="F11" i="44"/>
  <c r="F12" i="44"/>
  <c r="F13" i="44"/>
  <c r="F14" i="44"/>
  <c r="F5" i="44"/>
  <c r="U29" i="44" l="1"/>
  <c r="G11" i="21"/>
  <c r="U26" i="44" l="1"/>
  <c r="T26" i="44"/>
  <c r="U30" i="44"/>
  <c r="U31" i="44"/>
  <c r="E35" i="26"/>
  <c r="E34" i="26"/>
  <c r="G20" i="41" l="1"/>
  <c r="G19" i="41"/>
  <c r="G18" i="41"/>
  <c r="G17" i="41"/>
  <c r="Q19" i="40" l="1"/>
  <c r="K25" i="40"/>
  <c r="J23" i="40"/>
  <c r="K21" i="40"/>
  <c r="K20" i="40"/>
  <c r="K19" i="40"/>
  <c r="J21" i="40"/>
  <c r="J20" i="40"/>
  <c r="J19" i="40"/>
  <c r="I21" i="40"/>
  <c r="I20" i="40"/>
  <c r="I19" i="40"/>
  <c r="K18" i="40"/>
  <c r="J18" i="40"/>
  <c r="I18" i="40"/>
  <c r="M10" i="40"/>
  <c r="M8" i="40"/>
  <c r="K10" i="40"/>
  <c r="K8" i="40"/>
  <c r="I10" i="40"/>
  <c r="I8" i="40"/>
  <c r="N11" i="40"/>
  <c r="N9" i="40"/>
  <c r="N7" i="40"/>
  <c r="N5" i="40"/>
  <c r="L13" i="40"/>
  <c r="J13" i="40"/>
  <c r="H13" i="40"/>
  <c r="R14" i="39"/>
  <c r="P11" i="38"/>
  <c r="K16" i="38"/>
  <c r="K16" i="39"/>
  <c r="J15" i="39"/>
  <c r="J13" i="39"/>
  <c r="N8" i="39"/>
  <c r="N6" i="39"/>
  <c r="O7" i="39"/>
  <c r="O5" i="39"/>
  <c r="M9" i="39"/>
  <c r="K9" i="39"/>
  <c r="I9" i="39"/>
  <c r="J15" i="38"/>
  <c r="J13" i="38"/>
  <c r="L8" i="38"/>
  <c r="L6" i="38"/>
  <c r="J8" i="38"/>
  <c r="J6" i="38"/>
  <c r="K9" i="38"/>
  <c r="I9" i="38"/>
  <c r="M9" i="38"/>
  <c r="M7" i="38"/>
  <c r="M5" i="38"/>
  <c r="K21" i="37"/>
  <c r="K20" i="37"/>
  <c r="J19" i="37"/>
  <c r="J17" i="37"/>
  <c r="J16" i="37"/>
  <c r="O11" i="37"/>
  <c r="P13" i="37"/>
  <c r="P14" i="37"/>
  <c r="P15" i="37"/>
  <c r="P16" i="37"/>
  <c r="P12" i="37"/>
  <c r="O13" i="37"/>
  <c r="O14" i="37"/>
  <c r="O15" i="37"/>
  <c r="O16" i="37"/>
  <c r="O12" i="37"/>
  <c r="N16" i="37"/>
  <c r="N14" i="37"/>
  <c r="N15" i="37"/>
  <c r="N13" i="37"/>
  <c r="N12" i="37"/>
  <c r="M11" i="37"/>
  <c r="J17" i="40" l="1"/>
  <c r="N13" i="40"/>
  <c r="K6" i="40" s="1"/>
  <c r="O9" i="39"/>
  <c r="L6" i="39" s="1"/>
  <c r="M12" i="40" l="1"/>
  <c r="M6" i="40"/>
  <c r="K12" i="40"/>
  <c r="I12" i="40"/>
  <c r="I6" i="40"/>
  <c r="J6" i="39"/>
  <c r="J8" i="39"/>
  <c r="L8" i="39"/>
  <c r="K11" i="37" l="1"/>
  <c r="H11" i="37"/>
  <c r="I11" i="37"/>
  <c r="G11" i="37"/>
  <c r="J32" i="35" l="1"/>
  <c r="J31" i="35"/>
  <c r="J22" i="35"/>
  <c r="I15" i="35" l="1"/>
  <c r="J9" i="35"/>
  <c r="J8" i="35"/>
  <c r="O27" i="34" l="1"/>
  <c r="O26" i="34"/>
  <c r="N21" i="34"/>
  <c r="K14" i="34"/>
  <c r="K11" i="34"/>
  <c r="O11" i="32"/>
  <c r="I13" i="33"/>
  <c r="L7" i="20"/>
  <c r="H17" i="32"/>
  <c r="H16" i="32"/>
  <c r="J14" i="31"/>
  <c r="J13" i="31"/>
  <c r="K20" i="29"/>
  <c r="L13" i="29"/>
  <c r="L15" i="29" s="1"/>
  <c r="H13" i="28"/>
  <c r="H11" i="28"/>
  <c r="J7" i="28"/>
  <c r="J6" i="28"/>
  <c r="K6" i="27"/>
  <c r="H7" i="27"/>
  <c r="H8" i="27"/>
  <c r="H9" i="27"/>
  <c r="H10" i="27"/>
  <c r="H6" i="27"/>
  <c r="K5" i="27" s="1"/>
  <c r="F17" i="27" s="1"/>
  <c r="G14" i="26"/>
  <c r="G13" i="26"/>
  <c r="J8" i="26"/>
  <c r="N15" i="29" l="1"/>
  <c r="K8" i="27"/>
  <c r="H11" i="27"/>
  <c r="F20" i="27" l="1"/>
  <c r="F19" i="27"/>
  <c r="F11" i="26" l="1"/>
  <c r="F10" i="26"/>
  <c r="K24" i="25" l="1"/>
  <c r="H26" i="25"/>
  <c r="G26" i="25"/>
  <c r="F30" i="25"/>
  <c r="E30" i="25"/>
  <c r="E24" i="25"/>
  <c r="F18" i="25"/>
  <c r="L27" i="25"/>
  <c r="M28" i="25" s="1"/>
  <c r="F12" i="25"/>
  <c r="F11" i="25"/>
  <c r="F13" i="25" s="1"/>
  <c r="M28" i="24"/>
  <c r="L27" i="24"/>
  <c r="H26" i="24"/>
  <c r="G26" i="24"/>
  <c r="J26" i="23"/>
  <c r="F18" i="24"/>
  <c r="F12" i="24"/>
  <c r="F11" i="24"/>
  <c r="F20" i="25" l="1"/>
  <c r="L28" i="25"/>
  <c r="L28" i="24"/>
  <c r="F13" i="24"/>
  <c r="K27" i="23"/>
  <c r="J27" i="23"/>
  <c r="F25" i="23"/>
  <c r="E25" i="23"/>
  <c r="C23" i="23"/>
  <c r="C19" i="23"/>
  <c r="C18" i="23"/>
  <c r="C17" i="23"/>
  <c r="C13" i="23"/>
  <c r="C12" i="23"/>
  <c r="C11" i="23"/>
  <c r="U16" i="23"/>
  <c r="J7" i="22"/>
  <c r="F28" i="17"/>
  <c r="G7" i="18"/>
  <c r="O20" i="22"/>
  <c r="N20" i="22"/>
  <c r="N19" i="22"/>
  <c r="L19" i="22"/>
  <c r="K19" i="22"/>
  <c r="J16" i="22"/>
  <c r="K11" i="22"/>
  <c r="L7" i="19"/>
  <c r="F20" i="24" l="1"/>
  <c r="E24" i="24"/>
  <c r="N9" i="21"/>
  <c r="M9" i="21"/>
  <c r="M7" i="21"/>
  <c r="K7" i="21"/>
  <c r="M9" i="19"/>
  <c r="L9" i="19" l="1"/>
  <c r="G8" i="20"/>
  <c r="G7" i="20"/>
  <c r="J7" i="19"/>
  <c r="I7" i="19"/>
  <c r="G9" i="19"/>
  <c r="F8" i="19"/>
  <c r="L6" i="18"/>
  <c r="K5" i="18"/>
  <c r="K4" i="18"/>
  <c r="E3" i="14"/>
  <c r="K2" i="13"/>
  <c r="K5" i="15"/>
  <c r="F27" i="17"/>
  <c r="H5" i="17" l="1"/>
  <c r="H6" i="17"/>
  <c r="H7" i="17"/>
  <c r="H4" i="17"/>
  <c r="F11" i="17"/>
  <c r="F10" i="17"/>
  <c r="F9" i="17"/>
  <c r="G16" i="16"/>
  <c r="E16" i="16"/>
  <c r="P7" i="16"/>
  <c r="P6" i="16"/>
  <c r="P5" i="16"/>
  <c r="R7" i="15"/>
  <c r="R16" i="15"/>
  <c r="P6" i="15"/>
  <c r="P16" i="15"/>
  <c r="K7" i="15"/>
  <c r="K6" i="15"/>
  <c r="F28" i="14"/>
  <c r="I14" i="15"/>
  <c r="M7" i="16"/>
  <c r="L5" i="16"/>
  <c r="L6" i="16"/>
  <c r="H11" i="15"/>
  <c r="H5" i="15"/>
  <c r="H6" i="15"/>
  <c r="H7" i="15"/>
  <c r="H8" i="15"/>
  <c r="H4" i="15"/>
  <c r="F14" i="15"/>
  <c r="F15" i="15"/>
  <c r="L3" i="13" l="1"/>
  <c r="L4" i="13"/>
  <c r="L5" i="13"/>
  <c r="L6" i="13"/>
  <c r="L7" i="13"/>
  <c r="L8" i="13"/>
  <c r="L9" i="13"/>
  <c r="L10" i="13"/>
  <c r="L11" i="13"/>
  <c r="L12" i="13"/>
  <c r="L13" i="13"/>
  <c r="L14" i="13"/>
  <c r="L15" i="13"/>
  <c r="L16" i="13"/>
  <c r="L17" i="13"/>
  <c r="L18" i="13"/>
  <c r="L19" i="13"/>
  <c r="L20" i="13"/>
  <c r="L21" i="13"/>
  <c r="L22" i="13"/>
  <c r="L2" i="13"/>
  <c r="F4" i="14"/>
  <c r="F5" i="14"/>
  <c r="F6" i="14"/>
  <c r="F7" i="14"/>
  <c r="F8" i="14"/>
  <c r="F9" i="14"/>
  <c r="F10" i="14"/>
  <c r="F11" i="14"/>
  <c r="F12" i="14"/>
  <c r="F13" i="14"/>
  <c r="F14" i="14"/>
  <c r="F15" i="14"/>
  <c r="F16" i="14"/>
  <c r="F17" i="14"/>
  <c r="F18" i="14"/>
  <c r="F19" i="14"/>
  <c r="F20" i="14"/>
  <c r="F21" i="14"/>
  <c r="F22" i="14"/>
  <c r="F23" i="14"/>
  <c r="F3" i="14"/>
  <c r="E4" i="14"/>
  <c r="E5" i="14"/>
  <c r="E6" i="14"/>
  <c r="E7" i="14"/>
  <c r="E8" i="14"/>
  <c r="E9" i="14"/>
  <c r="E10" i="14"/>
  <c r="E11" i="14"/>
  <c r="E12" i="14"/>
  <c r="E13" i="14"/>
  <c r="E14" i="14"/>
  <c r="E15" i="14"/>
  <c r="E16" i="14"/>
  <c r="E17" i="14"/>
  <c r="E18" i="14"/>
  <c r="E19" i="14"/>
  <c r="E20" i="14"/>
  <c r="E21" i="14"/>
  <c r="E22" i="14"/>
  <c r="E23" i="14"/>
  <c r="P6" i="13"/>
  <c r="P5" i="13"/>
  <c r="S3" i="13"/>
  <c r="S4" i="13"/>
  <c r="S5" i="13"/>
  <c r="S6" i="13"/>
  <c r="S7" i="13"/>
  <c r="S8" i="13"/>
  <c r="S9" i="13"/>
  <c r="S10" i="13"/>
  <c r="S11" i="13"/>
  <c r="S12" i="13"/>
  <c r="S13" i="13"/>
  <c r="S14" i="13"/>
  <c r="S15" i="13"/>
  <c r="S16" i="13"/>
  <c r="S17" i="13"/>
  <c r="S18" i="13"/>
  <c r="S19" i="13"/>
  <c r="S20" i="13"/>
  <c r="S21" i="13"/>
  <c r="S22" i="13"/>
  <c r="S23" i="13"/>
  <c r="S24" i="13"/>
  <c r="S2" i="13"/>
  <c r="K3" i="13"/>
  <c r="K4" i="13"/>
  <c r="K5" i="13"/>
  <c r="K6" i="13"/>
  <c r="K7" i="13"/>
  <c r="K8" i="13"/>
  <c r="K9" i="13"/>
  <c r="K10" i="13"/>
  <c r="K11" i="13"/>
  <c r="K12" i="13"/>
  <c r="K13" i="13"/>
  <c r="K14" i="13"/>
  <c r="K15" i="13"/>
  <c r="K16" i="13"/>
  <c r="K17" i="13"/>
  <c r="K18" i="13"/>
  <c r="K19" i="13"/>
  <c r="K20" i="13"/>
  <c r="K21" i="13"/>
  <c r="K22" i="13"/>
  <c r="R16" i="10"/>
  <c r="R17" i="10"/>
  <c r="R15" i="10"/>
  <c r="H10" i="15" l="1"/>
  <c r="H21" i="12"/>
  <c r="H20" i="12"/>
  <c r="H4" i="12"/>
  <c r="H5" i="12"/>
  <c r="H6" i="12"/>
  <c r="H7" i="12"/>
  <c r="H8" i="12"/>
  <c r="H9" i="12"/>
  <c r="H10" i="12"/>
  <c r="H11" i="12"/>
  <c r="H12" i="12"/>
  <c r="H13" i="12"/>
  <c r="H14" i="12"/>
  <c r="H15" i="12"/>
  <c r="H16" i="12"/>
  <c r="H17" i="12"/>
  <c r="H18" i="12"/>
  <c r="H3" i="12"/>
  <c r="L39" i="3"/>
  <c r="L36" i="3"/>
  <c r="L35" i="3"/>
  <c r="K22" i="3"/>
  <c r="M32" i="3"/>
  <c r="L31" i="3"/>
  <c r="R6" i="10" l="1"/>
  <c r="R7" i="10"/>
  <c r="R8" i="10"/>
  <c r="R5" i="10"/>
  <c r="R4" i="10"/>
  <c r="R3" i="10"/>
  <c r="I7" i="10"/>
  <c r="I8" i="10" s="1"/>
  <c r="I6" i="10"/>
  <c r="M4" i="10"/>
  <c r="M5" i="10"/>
  <c r="M6" i="10"/>
  <c r="M7" i="10"/>
  <c r="M8" i="10"/>
  <c r="M9" i="10"/>
  <c r="M10" i="10"/>
  <c r="M11" i="10"/>
  <c r="M12" i="10"/>
  <c r="M13" i="10"/>
  <c r="M14" i="10"/>
  <c r="M15" i="10"/>
  <c r="M16" i="10"/>
  <c r="M17" i="10"/>
  <c r="M18" i="10"/>
  <c r="M19" i="10"/>
  <c r="M20" i="10"/>
  <c r="M21" i="10"/>
  <c r="M22" i="10"/>
  <c r="M23" i="10"/>
  <c r="U4" i="9"/>
  <c r="U5" i="9"/>
  <c r="U6" i="9"/>
  <c r="U7" i="9"/>
  <c r="U8" i="9"/>
  <c r="U9" i="9"/>
  <c r="U10" i="9"/>
  <c r="U11" i="9"/>
  <c r="U12" i="9"/>
  <c r="U3" i="9"/>
  <c r="T4" i="9"/>
  <c r="T5" i="9"/>
  <c r="T6" i="9"/>
  <c r="T7" i="9"/>
  <c r="T8" i="9"/>
  <c r="T9" i="9"/>
  <c r="T10" i="9"/>
  <c r="T11" i="9"/>
  <c r="T12" i="9"/>
  <c r="T3" i="9"/>
  <c r="L5" i="8" l="1"/>
  <c r="J5" i="7"/>
  <c r="G9" i="8"/>
  <c r="G11" i="8" s="1"/>
  <c r="F9" i="8"/>
  <c r="G16" i="7"/>
  <c r="G15" i="7"/>
  <c r="M7" i="7"/>
  <c r="N6" i="7"/>
  <c r="N7" i="7" s="1"/>
  <c r="J4" i="7"/>
  <c r="J12" i="6"/>
  <c r="J11" i="6"/>
  <c r="K8" i="6"/>
  <c r="J7" i="6"/>
  <c r="I3" i="8" l="1"/>
  <c r="L4" i="8"/>
  <c r="I5" i="8"/>
  <c r="I4" i="8"/>
  <c r="G14" i="8"/>
  <c r="G13" i="8"/>
  <c r="G12" i="8"/>
  <c r="F12" i="8"/>
  <c r="F14" i="8"/>
  <c r="I6" i="8"/>
  <c r="F11" i="8"/>
  <c r="F13" i="8"/>
  <c r="O7" i="7"/>
  <c r="G15" i="8" l="1"/>
  <c r="I7" i="8"/>
  <c r="F15" i="8"/>
  <c r="L3" i="1" l="1"/>
  <c r="J13" i="3" l="1"/>
  <c r="J12" i="3"/>
  <c r="H9" i="3"/>
  <c r="I4" i="3" l="1"/>
  <c r="I3" i="3"/>
  <c r="I2" i="3"/>
  <c r="I5" i="3" s="1"/>
  <c r="J5" i="3"/>
  <c r="I28" i="1" l="1"/>
  <c r="I29" i="1"/>
  <c r="I5" i="1"/>
  <c r="I6" i="1"/>
  <c r="I7" i="1"/>
  <c r="I8" i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26" i="1"/>
  <c r="I4" i="1"/>
  <c r="F29" i="1" l="1"/>
  <c r="G28" i="1"/>
  <c r="F28" i="1"/>
  <c r="G29" i="1"/>
  <c r="J10" i="1" l="1"/>
  <c r="J7" i="1"/>
  <c r="J11" i="1"/>
  <c r="J15" i="1"/>
  <c r="J19" i="1"/>
  <c r="J23" i="1"/>
  <c r="J4" i="1"/>
  <c r="J8" i="1"/>
  <c r="J16" i="1"/>
  <c r="J20" i="1"/>
  <c r="J24" i="1"/>
  <c r="J12" i="1"/>
  <c r="J5" i="1"/>
  <c r="J9" i="1"/>
  <c r="J13" i="1"/>
  <c r="J17" i="1"/>
  <c r="J21" i="1"/>
  <c r="J25" i="1"/>
  <c r="J6" i="1"/>
  <c r="J14" i="1"/>
  <c r="J18" i="1"/>
  <c r="J22" i="1"/>
  <c r="J26" i="1"/>
  <c r="J28" i="1" l="1"/>
  <c r="J29" i="1"/>
</calcChain>
</file>

<file path=xl/sharedStrings.xml><?xml version="1.0" encoding="utf-8"?>
<sst xmlns="http://schemas.openxmlformats.org/spreadsheetml/2006/main" count="956" uniqueCount="410">
  <si>
    <t>GDP</t>
  </si>
  <si>
    <t>Average Wages</t>
  </si>
  <si>
    <t>mean</t>
  </si>
  <si>
    <t>stdev</t>
  </si>
  <si>
    <t>x</t>
  </si>
  <si>
    <t>Mean</t>
  </si>
  <si>
    <t>Standard Error</t>
  </si>
  <si>
    <t>Median</t>
  </si>
  <si>
    <t>Mode</t>
  </si>
  <si>
    <t>Standard Deviation</t>
  </si>
  <si>
    <t>Sample Variance</t>
  </si>
  <si>
    <t>Kurtosis</t>
  </si>
  <si>
    <t>Skewness</t>
  </si>
  <si>
    <t>Range</t>
  </si>
  <si>
    <t>Minimum</t>
  </si>
  <si>
    <t>Maximum</t>
  </si>
  <si>
    <t>Sum</t>
  </si>
  <si>
    <t>Count</t>
  </si>
  <si>
    <t>z</t>
  </si>
  <si>
    <t>temperature</t>
  </si>
  <si>
    <t>ice-cream</t>
  </si>
  <si>
    <t>covar</t>
  </si>
  <si>
    <t>x stdev</t>
  </si>
  <si>
    <t>y stdev</t>
  </si>
  <si>
    <t>correl</t>
  </si>
  <si>
    <t>sum</t>
  </si>
  <si>
    <t>var</t>
  </si>
  <si>
    <t>X</t>
  </si>
  <si>
    <t>Y</t>
  </si>
  <si>
    <t>MEAN</t>
  </si>
  <si>
    <t>yield</t>
  </si>
  <si>
    <t>risk</t>
  </si>
  <si>
    <t>Covaiance X Y</t>
  </si>
  <si>
    <t>Portfoli0 yield</t>
  </si>
  <si>
    <t>Portfoli0 risk</t>
  </si>
  <si>
    <t>P(X,Y)</t>
  </si>
  <si>
    <t>Covariance</t>
  </si>
  <si>
    <t>n</t>
  </si>
  <si>
    <t>p</t>
  </si>
  <si>
    <t>variance</t>
  </si>
  <si>
    <t>Z</t>
  </si>
  <si>
    <t>Column1</t>
  </si>
  <si>
    <t>p(X)</t>
  </si>
  <si>
    <t>N=</t>
  </si>
  <si>
    <t>P=</t>
  </si>
  <si>
    <t>Involving clients</t>
  </si>
  <si>
    <t>P(x)</t>
  </si>
  <si>
    <t>is gunu N</t>
  </si>
  <si>
    <t>ise vaxtinda catma ehtimali</t>
  </si>
  <si>
    <t>mean =</t>
  </si>
  <si>
    <t>var=</t>
  </si>
  <si>
    <t xml:space="preserve"> </t>
  </si>
  <si>
    <t>Number of succses</t>
  </si>
  <si>
    <t>lambda</t>
  </si>
  <si>
    <t>p, false</t>
  </si>
  <si>
    <t>p, true</t>
  </si>
  <si>
    <t>from z table 0.12 = 0.5478</t>
  </si>
  <si>
    <t>aile  averge geliri</t>
  </si>
  <si>
    <t>600 ve 1200 maas alan umumi ehalinin nece faizini teskil edir</t>
  </si>
  <si>
    <t>x&lt;18.6  olduqda umumi datanin 54.78 % teskil edir</t>
  </si>
  <si>
    <t>x&gt;18.6 olduqda umumi datanin 45.22 % teskil edir</t>
  </si>
  <si>
    <t>from z table 0.12 = 0.4522</t>
  </si>
  <si>
    <t>find P(17.4&lt;x&lt;18)=</t>
  </si>
  <si>
    <t>0.5-0.4522=0.0478</t>
  </si>
  <si>
    <t>20 % data</t>
  </si>
  <si>
    <t>x = m + stdev*z</t>
  </si>
  <si>
    <t>z = (x-m) / stdev</t>
  </si>
  <si>
    <t>3 % qeder ehalinin geliri</t>
  </si>
  <si>
    <t>excell funcsion</t>
  </si>
  <si>
    <t>x&lt;18,6</t>
  </si>
  <si>
    <t>x&gt;18,6</t>
  </si>
  <si>
    <t>x = 18,6</t>
  </si>
  <si>
    <t>mean=</t>
  </si>
  <si>
    <t xml:space="preserve">from z table 0.2005 = </t>
  </si>
  <si>
    <t>stdev=</t>
  </si>
  <si>
    <t>probility</t>
  </si>
  <si>
    <t>from z table</t>
  </si>
  <si>
    <t xml:space="preserve">from z table 0.03 = </t>
  </si>
  <si>
    <t>18,18</t>
  </si>
  <si>
    <t>20,20</t>
  </si>
  <si>
    <t>22,22</t>
  </si>
  <si>
    <t>24,24</t>
  </si>
  <si>
    <t>18,20</t>
  </si>
  <si>
    <t>18,22</t>
  </si>
  <si>
    <t>18,24</t>
  </si>
  <si>
    <t>20,18</t>
  </si>
  <si>
    <t>20,22</t>
  </si>
  <si>
    <t>20,24</t>
  </si>
  <si>
    <t>22,18</t>
  </si>
  <si>
    <t>22,20</t>
  </si>
  <si>
    <t>22,24</t>
  </si>
  <si>
    <t>24,18</t>
  </si>
  <si>
    <t>24,20</t>
  </si>
  <si>
    <t>24,22</t>
  </si>
  <si>
    <t>samp.mean =</t>
  </si>
  <si>
    <t>stderror</t>
  </si>
  <si>
    <t>sample</t>
  </si>
  <si>
    <t>for 95% confidence interval</t>
  </si>
  <si>
    <t>alfa/2</t>
  </si>
  <si>
    <t>z alfa/2</t>
  </si>
  <si>
    <t>fr z table</t>
  </si>
  <si>
    <t>mean within</t>
  </si>
  <si>
    <t>+-5'</t>
  </si>
  <si>
    <t>?</t>
  </si>
  <si>
    <t>with 90 % samp. size</t>
  </si>
  <si>
    <t>for 95% confidence interval sample size</t>
  </si>
  <si>
    <t>alfa</t>
  </si>
  <si>
    <t>n=</t>
  </si>
  <si>
    <t>s=</t>
  </si>
  <si>
    <t>or</t>
  </si>
  <si>
    <t>for n-1=24 from t table</t>
  </si>
  <si>
    <t>t alfa/2</t>
  </si>
  <si>
    <t>h0 :M  =</t>
  </si>
  <si>
    <t xml:space="preserve">alfa = </t>
  </si>
  <si>
    <t>X orta</t>
  </si>
  <si>
    <t>Z stat =</t>
  </si>
  <si>
    <t>siqma</t>
  </si>
  <si>
    <t>z alfa/2 =</t>
  </si>
  <si>
    <t xml:space="preserve">alfa/2 = </t>
  </si>
  <si>
    <t>0.0.25</t>
  </si>
  <si>
    <t>Z stat</t>
  </si>
  <si>
    <t>&lt;</t>
  </si>
  <si>
    <t>Z stat*2</t>
  </si>
  <si>
    <t>p-value</t>
  </si>
  <si>
    <t>reject H0</t>
  </si>
  <si>
    <t>don’t reject H0</t>
  </si>
  <si>
    <t xml:space="preserve">if p-value  &gt;  alfa </t>
  </si>
  <si>
    <t>1 st method</t>
  </si>
  <si>
    <t>&gt;</t>
  </si>
  <si>
    <t>2 nd method</t>
  </si>
  <si>
    <t>3 thd method</t>
  </si>
  <si>
    <t>29,6832 &lt;=M&lt;=29.9968</t>
  </si>
  <si>
    <t>if H0  not in</t>
  </si>
  <si>
    <t>st error</t>
  </si>
  <si>
    <t xml:space="preserve"> X orta</t>
  </si>
  <si>
    <t>n =</t>
  </si>
  <si>
    <t>df</t>
  </si>
  <si>
    <t>from t table</t>
  </si>
  <si>
    <t>t stat=</t>
  </si>
  <si>
    <t>t stat</t>
  </si>
  <si>
    <t>data</t>
  </si>
  <si>
    <t>Null Hypothess M=</t>
  </si>
  <si>
    <t>Level of Significance</t>
  </si>
  <si>
    <t>sample size</t>
  </si>
  <si>
    <t>Sample mean</t>
  </si>
  <si>
    <t>Sample St dev</t>
  </si>
  <si>
    <t>intermediate Calculations</t>
  </si>
  <si>
    <t>Standart error of the Mean</t>
  </si>
  <si>
    <t>t test statistic</t>
  </si>
  <si>
    <t>two-tail test</t>
  </si>
  <si>
    <t>lower critical value</t>
  </si>
  <si>
    <t>upper critical value</t>
  </si>
  <si>
    <t>p-value &gt; alfa So don’t reject H0</t>
  </si>
  <si>
    <t>166.1432 &lt;=M&lt;=178.8568</t>
  </si>
  <si>
    <t>Degrees of Freedom</t>
  </si>
  <si>
    <t>H0 =168   in</t>
  </si>
  <si>
    <t>and</t>
  </si>
  <si>
    <t>h1 :M  !=</t>
  </si>
  <si>
    <t>one-tail test</t>
  </si>
  <si>
    <t>for 10 % confidence interval</t>
  </si>
  <si>
    <t>H0 =52  in</t>
  </si>
  <si>
    <t>50.46433 &lt;=M&lt;=55.73567</t>
  </si>
  <si>
    <t>one-tail calculaltions</t>
  </si>
  <si>
    <t>163.5116 &lt;=M&lt;=178.0884</t>
  </si>
  <si>
    <t>H0 =184.2  not in</t>
  </si>
  <si>
    <t>NYSE</t>
  </si>
  <si>
    <t>NASDAQ</t>
  </si>
  <si>
    <t>number</t>
  </si>
  <si>
    <t>samp.mean</t>
  </si>
  <si>
    <t>samp. St dev</t>
  </si>
  <si>
    <t>H0 : m1-m2</t>
  </si>
  <si>
    <t>H1: m1-m2</t>
  </si>
  <si>
    <t>!0</t>
  </si>
  <si>
    <t>s**2</t>
  </si>
  <si>
    <t>2.03 not in</t>
  </si>
  <si>
    <t>critical  value</t>
  </si>
  <si>
    <t>t-Test: Two-Sample Assuming Equal Variances</t>
  </si>
  <si>
    <t>Variable 1</t>
  </si>
  <si>
    <t>Variable 2</t>
  </si>
  <si>
    <t>Variance</t>
  </si>
  <si>
    <t>Observations</t>
  </si>
  <si>
    <t>Pooled Variance</t>
  </si>
  <si>
    <t>Hypothesized Mean Difference</t>
  </si>
  <si>
    <t>t Stat</t>
  </si>
  <si>
    <t>P(T&lt;=t) one-tail</t>
  </si>
  <si>
    <t>t Critical one-tail</t>
  </si>
  <si>
    <t>P(T&lt;=t) two-tail</t>
  </si>
  <si>
    <t>t Critical two-tail</t>
  </si>
  <si>
    <t>t-Test: Two-Sample Assuming Unequal Variances</t>
  </si>
  <si>
    <t>salesperson</t>
  </si>
  <si>
    <t>person 1</t>
  </si>
  <si>
    <t>person2</t>
  </si>
  <si>
    <t>person 3</t>
  </si>
  <si>
    <t>person 4</t>
  </si>
  <si>
    <t>person 5</t>
  </si>
  <si>
    <t>number of complaints</t>
  </si>
  <si>
    <t>diffrence( D)</t>
  </si>
  <si>
    <t>after</t>
  </si>
  <si>
    <t>before</t>
  </si>
  <si>
    <t>D orta</t>
  </si>
  <si>
    <t>D st dev</t>
  </si>
  <si>
    <t>DF</t>
  </si>
  <si>
    <t>critic value</t>
  </si>
  <si>
    <t xml:space="preserve">H0: M d = </t>
  </si>
  <si>
    <t xml:space="preserve">H0: M d != </t>
  </si>
  <si>
    <t>Numerator df</t>
  </si>
  <si>
    <t>Denumartor df</t>
  </si>
  <si>
    <t>from f table</t>
  </si>
  <si>
    <t>F stat</t>
  </si>
  <si>
    <t>qanunun evvelki data esasinda qebul olunma ehtimali</t>
  </si>
  <si>
    <t>P</t>
  </si>
  <si>
    <t>hazirki korespondent ayi(sample size)</t>
  </si>
  <si>
    <t>proportion between</t>
  </si>
  <si>
    <t>st dev</t>
  </si>
  <si>
    <t>siqma p</t>
  </si>
  <si>
    <t xml:space="preserve">P(0.4 =&lt; p =&lt; 0.45) = </t>
  </si>
  <si>
    <t>P(</t>
  </si>
  <si>
    <t>)</t>
  </si>
  <si>
    <t>&lt;=   Z     &lt;=</t>
  </si>
  <si>
    <t xml:space="preserve">P(0 =&lt; Z =&lt; 1.44) = </t>
  </si>
  <si>
    <t>P(0)</t>
  </si>
  <si>
    <t>P(1.44)</t>
  </si>
  <si>
    <t>random sample =</t>
  </si>
  <si>
    <t xml:space="preserve">left-handed = </t>
  </si>
  <si>
    <t>for 95 % form z table</t>
  </si>
  <si>
    <t>smaple size</t>
  </si>
  <si>
    <t>for 95 % from z table</t>
  </si>
  <si>
    <t>atasinin ali tehsilli olmamasi 95 % ehtimal ile</t>
  </si>
  <si>
    <t>for 95 % confidence =</t>
  </si>
  <si>
    <t>n = Z_alfa/2**2 * p(1-p) / e**2</t>
  </si>
  <si>
    <t>n = Z_alfa/2**2 * siqma**2 / e**2</t>
  </si>
  <si>
    <t>e</t>
  </si>
  <si>
    <t>sample yileds         p=</t>
  </si>
  <si>
    <t>within +-3                 e=</t>
  </si>
  <si>
    <t>t-Test: Paired Two Sample for Means</t>
  </si>
  <si>
    <t>Pearson Correlation</t>
  </si>
  <si>
    <t>telebe sayi</t>
  </si>
  <si>
    <t>pop. pro. determin. sample size</t>
  </si>
  <si>
    <t>we sent 500 email           sample size=</t>
  </si>
  <si>
    <t>compnay says they sent 100 email</t>
  </si>
  <si>
    <t>responses</t>
  </si>
  <si>
    <t>for binomial P</t>
  </si>
  <si>
    <t>p=</t>
  </si>
  <si>
    <t>Z stat = (p-P) / (SQRT(P*(1-P)/n))</t>
  </si>
  <si>
    <t>nP</t>
  </si>
  <si>
    <t>n(1-P)</t>
  </si>
  <si>
    <t>Z stat not in</t>
  </si>
  <si>
    <t>Reject</t>
  </si>
  <si>
    <t>confidence interval = p +- Z_alfa/2 * SQRT(p*(1-p) / n)</t>
  </si>
  <si>
    <t xml:space="preserve">from z table for -2.47 </t>
  </si>
  <si>
    <t>test at 0.5 level significance</t>
  </si>
  <si>
    <t>H0: P1-P2    =</t>
  </si>
  <si>
    <t>H0: P1-P2   !=</t>
  </si>
  <si>
    <t>Men</t>
  </si>
  <si>
    <t>p1</t>
  </si>
  <si>
    <t>women</t>
  </si>
  <si>
    <t>p2</t>
  </si>
  <si>
    <t xml:space="preserve">of  </t>
  </si>
  <si>
    <t>men</t>
  </si>
  <si>
    <t>p orta = (X1 + X2) / (n1+n2)</t>
  </si>
  <si>
    <t>Z stat = (p1-p2) - (P1-P2) / SQRT(p_orta * (1-p_orta) * (1 / n1 + 1 / n2))</t>
  </si>
  <si>
    <t>critical value from z table</t>
  </si>
  <si>
    <t xml:space="preserve">Con.Interval = (p1-p2) +- Z_alfa/2 * SQRT((p1*(1-p1 )/ n1) + (p2*(1-p2 )/ n2)) </t>
  </si>
  <si>
    <t>Club 1</t>
  </si>
  <si>
    <t>Club 2</t>
  </si>
  <si>
    <t>Club 3</t>
  </si>
  <si>
    <t>significance</t>
  </si>
  <si>
    <t>X1_orta</t>
  </si>
  <si>
    <t>X2_orta</t>
  </si>
  <si>
    <t>X3_orta</t>
  </si>
  <si>
    <t>X_gr_m</t>
  </si>
  <si>
    <t>n1</t>
  </si>
  <si>
    <t>n2</t>
  </si>
  <si>
    <t>n3</t>
  </si>
  <si>
    <t>c</t>
  </si>
  <si>
    <t>SSA</t>
  </si>
  <si>
    <t>SSW</t>
  </si>
  <si>
    <t>MSA</t>
  </si>
  <si>
    <t>MSW</t>
  </si>
  <si>
    <t>df_1</t>
  </si>
  <si>
    <t>c -1</t>
  </si>
  <si>
    <t>df_2</t>
  </si>
  <si>
    <t>n - c</t>
  </si>
  <si>
    <t>F_alfa</t>
  </si>
  <si>
    <t>from f table F_alfa</t>
  </si>
  <si>
    <t xml:space="preserve">F stat </t>
  </si>
  <si>
    <t>REJECT</t>
  </si>
  <si>
    <t>Anova: Single Factor</t>
  </si>
  <si>
    <t>SUMMARY</t>
  </si>
  <si>
    <t>Groups</t>
  </si>
  <si>
    <t>Average</t>
  </si>
  <si>
    <t>ANOVA</t>
  </si>
  <si>
    <t>Source of Variation</t>
  </si>
  <si>
    <t>SS</t>
  </si>
  <si>
    <t>MS</t>
  </si>
  <si>
    <t>F</t>
  </si>
  <si>
    <t>P-value</t>
  </si>
  <si>
    <t>F crit</t>
  </si>
  <si>
    <t>Between Groups</t>
  </si>
  <si>
    <t>Within Groups</t>
  </si>
  <si>
    <t>Total</t>
  </si>
  <si>
    <t>Gender</t>
  </si>
  <si>
    <t>Male</t>
  </si>
  <si>
    <t>Female</t>
  </si>
  <si>
    <t>Hand Preference</t>
  </si>
  <si>
    <t>Left</t>
  </si>
  <si>
    <t>Right</t>
  </si>
  <si>
    <t>Obsreved</t>
  </si>
  <si>
    <t>expected</t>
  </si>
  <si>
    <t>X**2 stat</t>
  </si>
  <si>
    <t>X**2_0.05</t>
  </si>
  <si>
    <t>don’t reject</t>
  </si>
  <si>
    <t>Favor</t>
  </si>
  <si>
    <t>Oppose</t>
  </si>
  <si>
    <t>Admin</t>
  </si>
  <si>
    <t>Students</t>
  </si>
  <si>
    <t>Faculty</t>
  </si>
  <si>
    <t>employees</t>
  </si>
  <si>
    <t>X**2_0.01</t>
  </si>
  <si>
    <t>X**2 alfa</t>
  </si>
  <si>
    <t>excell func</t>
  </si>
  <si>
    <t>x**2 alfa</t>
  </si>
  <si>
    <t>duz gelmir</t>
  </si>
  <si>
    <t>Class standing</t>
  </si>
  <si>
    <t>Number of meals per week</t>
  </si>
  <si>
    <t>20/week</t>
  </si>
  <si>
    <t>10/week</t>
  </si>
  <si>
    <t>None</t>
  </si>
  <si>
    <t>Soph.</t>
  </si>
  <si>
    <t>Junior</t>
  </si>
  <si>
    <t>Senoir</t>
  </si>
  <si>
    <t>Fresh.</t>
  </si>
  <si>
    <t>duz gelmir  excell  func</t>
  </si>
  <si>
    <t>temp</t>
  </si>
  <si>
    <t>dondruma</t>
  </si>
  <si>
    <t>SUMMARY OUTPUT</t>
  </si>
  <si>
    <t>Regression Statistics</t>
  </si>
  <si>
    <t>Multiple R</t>
  </si>
  <si>
    <t>R Square</t>
  </si>
  <si>
    <t>Adjusted R Square</t>
  </si>
  <si>
    <t>Regression</t>
  </si>
  <si>
    <t>Residual</t>
  </si>
  <si>
    <t>Intercept</t>
  </si>
  <si>
    <t>Significance F</t>
  </si>
  <si>
    <t>Coefficients</t>
  </si>
  <si>
    <t>Lower 95%</t>
  </si>
  <si>
    <t>Upper 95%</t>
  </si>
  <si>
    <t>Lower 95.0%</t>
  </si>
  <si>
    <t>Upper 95.0%</t>
  </si>
  <si>
    <t>RESIDUAL OUTPUT</t>
  </si>
  <si>
    <t>Observation</t>
  </si>
  <si>
    <t>Predicted dondruma</t>
  </si>
  <si>
    <t>Residuals</t>
  </si>
  <si>
    <t>yeni temp</t>
  </si>
  <si>
    <t>b_0</t>
  </si>
  <si>
    <t>b_1</t>
  </si>
  <si>
    <t>x_i</t>
  </si>
  <si>
    <t>House Price in $ 1000s</t>
  </si>
  <si>
    <t>Square Feet</t>
  </si>
  <si>
    <t>Predicted Y</t>
  </si>
  <si>
    <t>New</t>
  </si>
  <si>
    <t>t_alfa 0.05</t>
  </si>
  <si>
    <t>con_interval</t>
  </si>
  <si>
    <t>coefficient of determination or correl.</t>
  </si>
  <si>
    <t>x in y-e tesiri  58 % teskil edir</t>
  </si>
  <si>
    <t>temp. dondur. tesiri 97%</t>
  </si>
  <si>
    <t>S_yx (standart error)</t>
  </si>
  <si>
    <t>t Stat not in</t>
  </si>
  <si>
    <t>P-value&lt;alfa</t>
  </si>
  <si>
    <t>"0"  not in lower and upper</t>
  </si>
  <si>
    <t>p-value &gt; alfa</t>
  </si>
  <si>
    <t>"0"   in lower and upper</t>
  </si>
  <si>
    <t>F stat &gt; 5.32</t>
  </si>
  <si>
    <t>f_alfa</t>
  </si>
  <si>
    <t>slope</t>
  </si>
  <si>
    <t>intercept</t>
  </si>
  <si>
    <t>R square</t>
  </si>
  <si>
    <t>week</t>
  </si>
  <si>
    <t>pie sales</t>
  </si>
  <si>
    <t>Prise($)</t>
  </si>
  <si>
    <t>advertising ($100s)</t>
  </si>
  <si>
    <t>Predicted pie sales</t>
  </si>
  <si>
    <t>MS(-1)</t>
  </si>
  <si>
    <t>MS(-2)</t>
  </si>
  <si>
    <t>Sales =  Intercept - coef* Prise * Price +  coef*advertising * advertising</t>
  </si>
  <si>
    <t>azadliq emsali=</t>
  </si>
  <si>
    <t>daxil edilen deyisenlerin sayi</t>
  </si>
  <si>
    <t>K</t>
  </si>
  <si>
    <t xml:space="preserve">k = </t>
  </si>
  <si>
    <t xml:space="preserve">n-k -1= </t>
  </si>
  <si>
    <t>n-1</t>
  </si>
  <si>
    <t>k=</t>
  </si>
  <si>
    <t>n-k-1</t>
  </si>
  <si>
    <t>SSX</t>
  </si>
  <si>
    <t>average X</t>
  </si>
  <si>
    <t>SSE</t>
  </si>
  <si>
    <t>o</t>
  </si>
  <si>
    <t>k</t>
  </si>
  <si>
    <t>&lt; f_alfa</t>
  </si>
  <si>
    <t xml:space="preserve">  &lt;  0.05</t>
  </si>
  <si>
    <t>P-value &lt; 0.05</t>
  </si>
  <si>
    <t>t_alfa</t>
  </si>
  <si>
    <t>coefficient of determination or correl**2</t>
  </si>
  <si>
    <t>0' not in Lower and Upper</t>
  </si>
  <si>
    <t>Portion of model</t>
  </si>
  <si>
    <t xml:space="preserve">F stat = </t>
  </si>
  <si>
    <t xml:space="preserve">corellation </t>
  </si>
  <si>
    <t>F stat   &gt;   F_0.05 =  4.7472</t>
  </si>
  <si>
    <t>`</t>
  </si>
  <si>
    <t>std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</si>
</sst>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164" formatCode="0.0%"/>
    <numFmt numFmtId="165" formatCode="0.000000"/>
    <numFmt numFmtId="166" formatCode="0.00000"/>
    <numFmt numFmtId="167" formatCode="0.0"/>
    <numFmt numFmtId="168" formatCode="0.000"/>
    <numFmt numFmtId="169" formatCode="0.0000"/>
  </numFmts>
  <fonts count="11" x14ac:knownFonts="1">
    <font>
      <sz val="11"/>
      <color theme="1"/>
      <name val="Calibri"/>
      <family val="2"/>
      <scheme val="minor"/>
    </font>
    <font>
      <i/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000000"/>
      <name val="Times New Roman"/>
      <family val="1"/>
    </font>
    <font>
      <sz val="16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theme="1"/>
      <name val="Times New Roman"/>
      <family val="1"/>
    </font>
    <font>
      <sz val="10"/>
      <color rgb="FF0C0D0E"/>
      <name val="Consolas"/>
      <family val="3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45">
    <border>
      <left/>
      <right/>
      <top/>
      <bottom/>
      <diagonal/>
    </border>
    <border>
      <left/>
      <right/>
      <top/>
      <bottom style="medium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2">
    <xf numFmtId="0" fontId="0" fillId="0" borderId="0"/>
    <xf numFmtId="9" fontId="2" fillId="0" borderId="0" applyFont="0" applyFill="0" applyBorder="0" applyAlignment="0" applyProtection="0"/>
  </cellStyleXfs>
  <cellXfs count="275">
    <xf numFmtId="0" fontId="0" fillId="0" borderId="0" xfId="0"/>
    <xf numFmtId="0" fontId="0" fillId="0" borderId="0" xfId="0" applyFill="1" applyBorder="1" applyAlignment="1"/>
    <xf numFmtId="0" fontId="0" fillId="0" borderId="1" xfId="0" applyFill="1" applyBorder="1" applyAlignment="1"/>
    <xf numFmtId="0" fontId="1" fillId="0" borderId="2" xfId="0" applyFont="1" applyFill="1" applyBorder="1" applyAlignment="1">
      <alignment horizontal="centerContinuous"/>
    </xf>
    <xf numFmtId="0" fontId="0" fillId="0" borderId="0" xfId="0" applyAlignment="1">
      <alignment horizontal="center"/>
    </xf>
    <xf numFmtId="2" fontId="0" fillId="0" borderId="0" xfId="0" applyNumberFormat="1"/>
    <xf numFmtId="0" fontId="1" fillId="0" borderId="2" xfId="0" applyFont="1" applyFill="1" applyBorder="1" applyAlignment="1">
      <alignment horizontal="center"/>
    </xf>
    <xf numFmtId="0" fontId="0" fillId="0" borderId="3" xfId="0" applyBorder="1"/>
    <xf numFmtId="0" fontId="0" fillId="0" borderId="3" xfId="0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3" borderId="3" xfId="0" applyFill="1" applyBorder="1" applyAlignment="1">
      <alignment horizontal="center"/>
    </xf>
    <xf numFmtId="0" fontId="0" fillId="0" borderId="0" xfId="0" applyFill="1" applyBorder="1" applyAlignment="1">
      <alignment horizontal="center"/>
    </xf>
    <xf numFmtId="0" fontId="0" fillId="0" borderId="0" xfId="0" applyAlignment="1">
      <alignment horizontal="center"/>
    </xf>
    <xf numFmtId="9" fontId="0" fillId="0" borderId="0" xfId="1" applyFont="1"/>
    <xf numFmtId="0" fontId="0" fillId="0" borderId="0" xfId="0" applyAlignment="1">
      <alignment horizontal="left"/>
    </xf>
    <xf numFmtId="9" fontId="0" fillId="0" borderId="0" xfId="1" applyFont="1" applyAlignment="1">
      <alignment horizontal="center"/>
    </xf>
    <xf numFmtId="0" fontId="0" fillId="0" borderId="0" xfId="0" applyAlignment="1">
      <alignment horizontal="center"/>
    </xf>
    <xf numFmtId="9" fontId="0" fillId="0" borderId="3" xfId="1" applyFont="1" applyBorder="1" applyAlignment="1">
      <alignment horizontal="center"/>
    </xf>
    <xf numFmtId="10" fontId="0" fillId="0" borderId="0" xfId="1" applyNumberFormat="1" applyFont="1" applyAlignment="1">
      <alignment horizontal="center"/>
    </xf>
    <xf numFmtId="164" fontId="0" fillId="0" borderId="0" xfId="1" applyNumberFormat="1" applyFont="1"/>
    <xf numFmtId="165" fontId="0" fillId="0" borderId="0" xfId="1" applyNumberFormat="1" applyFont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10" xfId="0" applyBorder="1"/>
    <xf numFmtId="0" fontId="0" fillId="0" borderId="1" xfId="0" applyBorder="1"/>
    <xf numFmtId="0" fontId="0" fillId="0" borderId="12" xfId="0" applyBorder="1"/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2" borderId="0" xfId="0" applyFill="1" applyBorder="1"/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4" borderId="0" xfId="0" applyFill="1" applyBorder="1" applyAlignment="1">
      <alignment horizontal="center"/>
    </xf>
    <xf numFmtId="0" fontId="0" fillId="4" borderId="10" xfId="0" applyFill="1" applyBorder="1" applyAlignment="1">
      <alignment horizontal="center"/>
    </xf>
    <xf numFmtId="0" fontId="0" fillId="0" borderId="12" xfId="0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12" xfId="0" applyFill="1" applyBorder="1"/>
    <xf numFmtId="0" fontId="0" fillId="2" borderId="13" xfId="0" applyFill="1" applyBorder="1" applyAlignment="1">
      <alignment horizontal="center"/>
    </xf>
    <xf numFmtId="0" fontId="0" fillId="2" borderId="1" xfId="0" applyFill="1" applyBorder="1"/>
    <xf numFmtId="0" fontId="0" fillId="0" borderId="4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19" xfId="0" applyBorder="1" applyAlignment="1">
      <alignment horizont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0" fontId="0" fillId="0" borderId="24" xfId="0" applyBorder="1" applyAlignment="1">
      <alignment horizontal="center"/>
    </xf>
    <xf numFmtId="0" fontId="0" fillId="0" borderId="25" xfId="0" applyBorder="1" applyAlignment="1">
      <alignment horizontal="center"/>
    </xf>
    <xf numFmtId="0" fontId="0" fillId="2" borderId="0" xfId="0" applyFill="1"/>
    <xf numFmtId="0" fontId="0" fillId="0" borderId="0" xfId="0" quotePrefix="1" applyAlignment="1">
      <alignment horizontal="center"/>
    </xf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0" fontId="0" fillId="2" borderId="10" xfId="0" applyFill="1" applyBorder="1"/>
    <xf numFmtId="0" fontId="0" fillId="0" borderId="11" xfId="0" applyBorder="1"/>
    <xf numFmtId="0" fontId="0" fillId="2" borderId="0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2" borderId="0" xfId="0" applyFill="1" applyBorder="1" applyAlignment="1">
      <alignment horizontal="left"/>
    </xf>
    <xf numFmtId="0" fontId="0" fillId="6" borderId="0" xfId="0" applyFill="1" applyBorder="1" applyAlignment="1">
      <alignment horizontal="center"/>
    </xf>
    <xf numFmtId="0" fontId="0" fillId="0" borderId="9" xfId="0" applyBorder="1" applyAlignment="1">
      <alignment horizontal="left"/>
    </xf>
    <xf numFmtId="0" fontId="0" fillId="6" borderId="10" xfId="0" applyFill="1" applyBorder="1" applyAlignment="1">
      <alignment horizontal="center"/>
    </xf>
    <xf numFmtId="0" fontId="0" fillId="0" borderId="11" xfId="0" applyBorder="1" applyAlignment="1">
      <alignment horizontal="left"/>
    </xf>
    <xf numFmtId="0" fontId="0" fillId="0" borderId="7" xfId="0" applyBorder="1" applyAlignment="1"/>
    <xf numFmtId="166" fontId="0" fillId="2" borderId="0" xfId="0" applyNumberFormat="1" applyFill="1" applyBorder="1"/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166" fontId="0" fillId="2" borderId="0" xfId="0" applyNumberFormat="1" applyFill="1" applyBorder="1" applyAlignment="1">
      <alignment horizontal="center"/>
    </xf>
    <xf numFmtId="166" fontId="0" fillId="2" borderId="11" xfId="0" applyNumberFormat="1" applyFill="1" applyBorder="1" applyAlignment="1">
      <alignment horizontal="center"/>
    </xf>
    <xf numFmtId="166" fontId="0" fillId="2" borderId="12" xfId="0" applyNumberFormat="1" applyFill="1" applyBorder="1" applyAlignment="1">
      <alignment horizontal="center"/>
    </xf>
    <xf numFmtId="0" fontId="0" fillId="0" borderId="0" xfId="0" applyAlignment="1">
      <alignment horizontal="center"/>
    </xf>
    <xf numFmtId="0" fontId="0" fillId="0" borderId="26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29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10" xfId="0" applyFill="1" applyBorder="1" applyAlignment="1"/>
    <xf numFmtId="0" fontId="0" fillId="0" borderId="12" xfId="0" applyFill="1" applyBorder="1" applyAlignment="1"/>
    <xf numFmtId="0" fontId="1" fillId="0" borderId="0" xfId="0" applyFont="1" applyFill="1" applyBorder="1" applyAlignment="1">
      <alignment horizontal="center"/>
    </xf>
    <xf numFmtId="0" fontId="1" fillId="0" borderId="10" xfId="0" applyFont="1" applyFill="1" applyBorder="1" applyAlignment="1">
      <alignment horizontal="center"/>
    </xf>
    <xf numFmtId="0" fontId="0" fillId="0" borderId="26" xfId="0" applyBorder="1"/>
    <xf numFmtId="0" fontId="0" fillId="0" borderId="31" xfId="0" applyBorder="1"/>
    <xf numFmtId="0" fontId="0" fillId="0" borderId="32" xfId="0" applyBorder="1"/>
    <xf numFmtId="0" fontId="1" fillId="0" borderId="32" xfId="0" applyFont="1" applyFill="1" applyBorder="1" applyAlignment="1">
      <alignment horizontal="center"/>
    </xf>
    <xf numFmtId="0" fontId="0" fillId="0" borderId="32" xfId="0" applyFill="1" applyBorder="1" applyAlignment="1"/>
    <xf numFmtId="0" fontId="0" fillId="0" borderId="28" xfId="0" applyFill="1" applyBorder="1" applyAlignment="1"/>
    <xf numFmtId="0" fontId="0" fillId="0" borderId="33" xfId="0" applyFill="1" applyBorder="1" applyAlignment="1"/>
    <xf numFmtId="0" fontId="0" fillId="0" borderId="34" xfId="0" applyBorder="1"/>
    <xf numFmtId="0" fontId="0" fillId="0" borderId="35" xfId="0" applyFill="1" applyBorder="1" applyAlignment="1"/>
    <xf numFmtId="0" fontId="0" fillId="0" borderId="36" xfId="0" applyFill="1" applyBorder="1" applyAlignment="1"/>
    <xf numFmtId="0" fontId="0" fillId="0" borderId="37" xfId="0" applyBorder="1" applyAlignment="1">
      <alignment horizontal="center"/>
    </xf>
    <xf numFmtId="0" fontId="0" fillId="0" borderId="38" xfId="0" applyBorder="1" applyAlignment="1">
      <alignment horizontal="center"/>
    </xf>
    <xf numFmtId="0" fontId="0" fillId="0" borderId="38" xfId="0" applyBorder="1"/>
    <xf numFmtId="0" fontId="0" fillId="0" borderId="30" xfId="0" applyBorder="1"/>
    <xf numFmtId="0" fontId="0" fillId="0" borderId="4" xfId="0" applyFill="1" applyBorder="1" applyAlignment="1">
      <alignment horizontal="center"/>
    </xf>
    <xf numFmtId="9" fontId="0" fillId="0" borderId="0" xfId="0" applyNumberFormat="1" applyAlignment="1">
      <alignment horizontal="center"/>
    </xf>
    <xf numFmtId="0" fontId="0" fillId="0" borderId="0" xfId="0" applyAlignment="1">
      <alignment horizontal="right"/>
    </xf>
    <xf numFmtId="0" fontId="0" fillId="2" borderId="0" xfId="0" applyFill="1" applyAlignment="1">
      <alignment horizontal="center"/>
    </xf>
    <xf numFmtId="0" fontId="0" fillId="2" borderId="0" xfId="0" applyFill="1" applyAlignment="1">
      <alignment horizontal="right"/>
    </xf>
    <xf numFmtId="0" fontId="0" fillId="2" borderId="0" xfId="0" applyFill="1" applyBorder="1" applyAlignment="1"/>
    <xf numFmtId="0" fontId="0" fillId="2" borderId="1" xfId="0" applyFill="1" applyBorder="1" applyAlignment="1"/>
    <xf numFmtId="0" fontId="0" fillId="0" borderId="0" xfId="0" applyAlignment="1">
      <alignment horizontal="right"/>
    </xf>
    <xf numFmtId="0" fontId="0" fillId="7" borderId="0" xfId="0" applyFill="1" applyAlignment="1">
      <alignment horizontal="center" vertical="center"/>
    </xf>
    <xf numFmtId="0" fontId="0" fillId="2" borderId="0" xfId="0" applyFill="1" applyAlignment="1">
      <alignment horizontal="left"/>
    </xf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6" borderId="0" xfId="0" applyFill="1"/>
    <xf numFmtId="0" fontId="0" fillId="6" borderId="0" xfId="0" applyFill="1" applyAlignment="1">
      <alignment horizontal="center"/>
    </xf>
    <xf numFmtId="0" fontId="0" fillId="0" borderId="40" xfId="0" applyBorder="1" applyAlignment="1">
      <alignment horizontal="center"/>
    </xf>
    <xf numFmtId="0" fontId="0" fillId="0" borderId="27" xfId="0" applyBorder="1"/>
    <xf numFmtId="0" fontId="0" fillId="0" borderId="41" xfId="0" applyBorder="1"/>
    <xf numFmtId="0" fontId="0" fillId="0" borderId="17" xfId="0" applyBorder="1" applyAlignment="1">
      <alignment vertical="center"/>
    </xf>
    <xf numFmtId="2" fontId="0" fillId="0" borderId="29" xfId="0" applyNumberFormat="1" applyBorder="1" applyAlignment="1">
      <alignment horizontal="center"/>
    </xf>
    <xf numFmtId="167" fontId="0" fillId="0" borderId="29" xfId="0" applyNumberFormat="1" applyBorder="1" applyAlignment="1">
      <alignment horizontal="center"/>
    </xf>
    <xf numFmtId="169" fontId="0" fillId="6" borderId="0" xfId="0" applyNumberFormat="1" applyFill="1" applyAlignment="1">
      <alignment horizontal="center"/>
    </xf>
    <xf numFmtId="168" fontId="0" fillId="6" borderId="0" xfId="0" applyNumberFormat="1" applyFill="1" applyAlignment="1">
      <alignment horizontal="center"/>
    </xf>
    <xf numFmtId="0" fontId="0" fillId="0" borderId="4" xfId="0" applyBorder="1"/>
    <xf numFmtId="0" fontId="0" fillId="0" borderId="5" xfId="0" applyBorder="1"/>
    <xf numFmtId="0" fontId="4" fillId="0" borderId="26" xfId="0" applyFont="1" applyBorder="1"/>
    <xf numFmtId="0" fontId="4" fillId="0" borderId="31" xfId="0" applyFont="1" applyBorder="1"/>
    <xf numFmtId="0" fontId="4" fillId="0" borderId="32" xfId="0" applyFont="1" applyBorder="1"/>
    <xf numFmtId="0" fontId="4" fillId="0" borderId="0" xfId="0" applyFont="1" applyBorder="1"/>
    <xf numFmtId="0" fontId="0" fillId="0" borderId="28" xfId="0" applyBorder="1"/>
    <xf numFmtId="0" fontId="0" fillId="0" borderId="33" xfId="0" applyBorder="1"/>
    <xf numFmtId="0" fontId="0" fillId="0" borderId="29" xfId="0" applyBorder="1"/>
    <xf numFmtId="0" fontId="0" fillId="0" borderId="0" xfId="0" applyAlignment="1">
      <alignment horizontal="center"/>
    </xf>
    <xf numFmtId="0" fontId="0" fillId="8" borderId="0" xfId="0" applyFill="1" applyBorder="1" applyAlignment="1"/>
    <xf numFmtId="0" fontId="0" fillId="8" borderId="1" xfId="0" applyFill="1" applyBorder="1" applyAlignment="1"/>
    <xf numFmtId="0" fontId="0" fillId="8" borderId="0" xfId="0" applyFill="1"/>
    <xf numFmtId="0" fontId="0" fillId="8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6" borderId="0" xfId="0" applyFill="1" applyBorder="1" applyAlignment="1"/>
    <xf numFmtId="0" fontId="5" fillId="0" borderId="0" xfId="0" applyFont="1"/>
    <xf numFmtId="0" fontId="0" fillId="9" borderId="0" xfId="0" applyFill="1"/>
    <xf numFmtId="0" fontId="0" fillId="10" borderId="0" xfId="0" applyFill="1" applyBorder="1" applyAlignment="1"/>
    <xf numFmtId="0" fontId="0" fillId="10" borderId="0" xfId="0" applyFill="1"/>
    <xf numFmtId="0" fontId="0" fillId="11" borderId="0" xfId="0" applyFill="1"/>
    <xf numFmtId="0" fontId="0" fillId="11" borderId="1" xfId="0" applyFill="1" applyBorder="1" applyAlignment="1"/>
    <xf numFmtId="0" fontId="0" fillId="12" borderId="0" xfId="0" applyFill="1"/>
    <xf numFmtId="0" fontId="0" fillId="9" borderId="1" xfId="0" applyFill="1" applyBorder="1" applyAlignment="1"/>
    <xf numFmtId="0" fontId="0" fillId="9" borderId="0" xfId="0" applyFill="1" applyAlignment="1">
      <alignment horizontal="center"/>
    </xf>
    <xf numFmtId="0" fontId="0" fillId="13" borderId="0" xfId="0" applyFill="1"/>
    <xf numFmtId="0" fontId="0" fillId="14" borderId="1" xfId="0" applyFill="1" applyBorder="1" applyAlignment="1"/>
    <xf numFmtId="0" fontId="0" fillId="14" borderId="0" xfId="0" applyFill="1"/>
    <xf numFmtId="0" fontId="0" fillId="0" borderId="3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0" xfId="0" applyBorder="1" applyAlignment="1">
      <alignment vertical="center"/>
    </xf>
    <xf numFmtId="0" fontId="0" fillId="0" borderId="3" xfId="0" applyBorder="1" applyAlignment="1">
      <alignment vertic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6" borderId="0" xfId="0" applyFill="1" applyAlignment="1">
      <alignment horizontal="center"/>
    </xf>
    <xf numFmtId="0" fontId="0" fillId="0" borderId="0" xfId="0" applyAlignment="1">
      <alignment horizontal="center"/>
    </xf>
    <xf numFmtId="0" fontId="0" fillId="0" borderId="0" xfId="0" applyBorder="1" applyAlignment="1">
      <alignment horizontal="center"/>
    </xf>
    <xf numFmtId="0" fontId="0" fillId="15" borderId="26" xfId="0" applyFill="1" applyBorder="1"/>
    <xf numFmtId="0" fontId="0" fillId="16" borderId="31" xfId="0" applyFill="1" applyBorder="1" applyAlignment="1">
      <alignment horizontal="center"/>
    </xf>
    <xf numFmtId="0" fontId="0" fillId="6" borderId="27" xfId="0" applyFill="1" applyBorder="1"/>
    <xf numFmtId="0" fontId="0" fillId="15" borderId="32" xfId="0" applyFill="1" applyBorder="1"/>
    <xf numFmtId="0" fontId="0" fillId="15" borderId="0" xfId="0" applyFill="1" applyBorder="1" applyAlignment="1">
      <alignment horizontal="center"/>
    </xf>
    <xf numFmtId="0" fontId="0" fillId="16" borderId="41" xfId="0" applyFill="1" applyBorder="1"/>
    <xf numFmtId="0" fontId="0" fillId="15" borderId="41" xfId="0" applyFill="1" applyBorder="1"/>
    <xf numFmtId="0" fontId="0" fillId="15" borderId="28" xfId="0" applyFill="1" applyBorder="1"/>
    <xf numFmtId="0" fontId="0" fillId="15" borderId="33" xfId="0" applyFill="1" applyBorder="1" applyAlignment="1">
      <alignment horizontal="center"/>
    </xf>
    <xf numFmtId="0" fontId="0" fillId="15" borderId="29" xfId="0" applyFill="1" applyBorder="1"/>
    <xf numFmtId="0" fontId="0" fillId="11" borderId="0" xfId="0" applyFill="1" applyBorder="1" applyAlignment="1">
      <alignment horizontal="center"/>
    </xf>
    <xf numFmtId="0" fontId="0" fillId="0" borderId="0" xfId="0" applyAlignment="1"/>
    <xf numFmtId="0" fontId="6" fillId="2" borderId="0" xfId="0" applyFont="1" applyFill="1" applyAlignment="1">
      <alignment horizontal="center"/>
    </xf>
    <xf numFmtId="0" fontId="0" fillId="17" borderId="0" xfId="0" applyFill="1" applyBorder="1" applyAlignment="1"/>
    <xf numFmtId="0" fontId="0" fillId="17" borderId="0" xfId="0" applyFill="1"/>
    <xf numFmtId="0" fontId="6" fillId="2" borderId="0" xfId="0" applyFont="1" applyFill="1" applyAlignment="1">
      <alignment horizontal="left"/>
    </xf>
    <xf numFmtId="0" fontId="0" fillId="0" borderId="42" xfId="0" applyBorder="1"/>
    <xf numFmtId="0" fontId="0" fillId="0" borderId="43" xfId="0" applyBorder="1"/>
    <xf numFmtId="0" fontId="0" fillId="0" borderId="0" xfId="0" quotePrefix="1"/>
    <xf numFmtId="0" fontId="8" fillId="14" borderId="0" xfId="0" applyFont="1" applyFill="1" applyAlignment="1">
      <alignment horizontal="center"/>
    </xf>
    <xf numFmtId="0" fontId="8" fillId="14" borderId="3" xfId="0" applyFont="1" applyFill="1" applyBorder="1" applyAlignment="1">
      <alignment horizontal="center"/>
    </xf>
    <xf numFmtId="0" fontId="9" fillId="2" borderId="44" xfId="0" applyFont="1" applyFill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10" fillId="0" borderId="0" xfId="0" applyFont="1"/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0" xfId="0" applyAlignment="1">
      <alignment horizontal="center"/>
    </xf>
    <xf numFmtId="0" fontId="0" fillId="2" borderId="0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0" fillId="2" borderId="16" xfId="0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2" xfId="0" applyFill="1" applyBorder="1" applyAlignment="1">
      <alignment horizontal="center" vertical="center"/>
    </xf>
    <xf numFmtId="0" fontId="0" fillId="5" borderId="0" xfId="0" applyFill="1" applyBorder="1" applyAlignment="1">
      <alignment horizontal="center"/>
    </xf>
    <xf numFmtId="0" fontId="0" fillId="6" borderId="0" xfId="0" applyFill="1" applyBorder="1" applyAlignment="1">
      <alignment horizontal="center"/>
    </xf>
    <xf numFmtId="0" fontId="0" fillId="6" borderId="12" xfId="0" applyFill="1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9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2" borderId="10" xfId="0" applyFill="1" applyBorder="1" applyAlignment="1">
      <alignment horizontal="center" vertical="center"/>
    </xf>
    <xf numFmtId="0" fontId="0" fillId="0" borderId="0" xfId="0" applyAlignment="1">
      <alignment horizontal="right"/>
    </xf>
    <xf numFmtId="0" fontId="0" fillId="2" borderId="0" xfId="0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6" borderId="0" xfId="0" applyFill="1" applyAlignment="1">
      <alignment horizontal="center"/>
    </xf>
    <xf numFmtId="0" fontId="0" fillId="0" borderId="26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6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27" xfId="0" applyBorder="1" applyAlignment="1">
      <alignment horizontal="center"/>
    </xf>
    <xf numFmtId="0" fontId="0" fillId="0" borderId="28" xfId="0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17" xfId="0" applyBorder="1" applyAlignment="1">
      <alignment horizontal="left" vertical="center"/>
    </xf>
    <xf numFmtId="0" fontId="0" fillId="0" borderId="40" xfId="0" applyBorder="1" applyAlignment="1">
      <alignment horizontal="left" vertical="center"/>
    </xf>
    <xf numFmtId="0" fontId="0" fillId="0" borderId="39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7" fillId="14" borderId="0" xfId="0" applyFont="1" applyFill="1" applyAlignment="1">
      <alignment horizontal="center" vertical="center"/>
    </xf>
    <xf numFmtId="0" fontId="8" fillId="14" borderId="0" xfId="0" applyFont="1" applyFill="1" applyAlignment="1">
      <alignment horizontal="center" vertical="center"/>
    </xf>
    <xf numFmtId="0" fontId="0" fillId="6" borderId="0" xfId="0" applyFill="1" applyAlignment="1">
      <alignment horizontal="center" vertic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3136482939632545E-2"/>
          <c:y val="0.19486111111111112"/>
          <c:w val="0.85887051618547683"/>
          <c:h val="0.72088764946048411"/>
        </c:manualLayout>
      </c:layout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'z-score'!$F$4:$F$26</c:f>
              <c:numCache>
                <c:formatCode>General</c:formatCode>
                <c:ptCount val="23"/>
                <c:pt idx="0">
                  <c:v>34948153851</c:v>
                </c:pt>
                <c:pt idx="1">
                  <c:v>35393925299</c:v>
                </c:pt>
                <c:pt idx="2">
                  <c:v>36277400597</c:v>
                </c:pt>
                <c:pt idx="3">
                  <c:v>39674187693</c:v>
                </c:pt>
                <c:pt idx="4">
                  <c:v>48401363697</c:v>
                </c:pt>
                <c:pt idx="5">
                  <c:v>49172358716</c:v>
                </c:pt>
                <c:pt idx="6">
                  <c:v>49236683727</c:v>
                </c:pt>
                <c:pt idx="7">
                  <c:v>50559208753</c:v>
                </c:pt>
                <c:pt idx="8">
                  <c:v>52837606769</c:v>
                </c:pt>
                <c:pt idx="9">
                  <c:v>54168730800</c:v>
                </c:pt>
                <c:pt idx="10">
                  <c:v>60404958658</c:v>
                </c:pt>
                <c:pt idx="11">
                  <c:v>60852512182</c:v>
                </c:pt>
                <c:pt idx="12">
                  <c:v>61832480405</c:v>
                </c:pt>
                <c:pt idx="13">
                  <c:v>61924236832</c:v>
                </c:pt>
                <c:pt idx="14">
                  <c:v>62857600505</c:v>
                </c:pt>
                <c:pt idx="15">
                  <c:v>65526252843</c:v>
                </c:pt>
                <c:pt idx="16">
                  <c:v>67410760394</c:v>
                </c:pt>
                <c:pt idx="17">
                  <c:v>68329691112</c:v>
                </c:pt>
                <c:pt idx="18">
                  <c:v>70622799821</c:v>
                </c:pt>
                <c:pt idx="19">
                  <c:v>82092081930</c:v>
                </c:pt>
                <c:pt idx="20">
                  <c:v>82997625644</c:v>
                </c:pt>
                <c:pt idx="21">
                  <c:v>88467393469</c:v>
                </c:pt>
                <c:pt idx="22">
                  <c:v>89082012916</c:v>
                </c:pt>
              </c:numCache>
            </c:numRef>
          </c:xVal>
          <c:yVal>
            <c:numRef>
              <c:f>'z-score'!$G$4:$G$26</c:f>
              <c:numCache>
                <c:formatCode>General</c:formatCode>
                <c:ptCount val="23"/>
                <c:pt idx="0">
                  <c:v>406</c:v>
                </c:pt>
                <c:pt idx="1">
                  <c:v>419</c:v>
                </c:pt>
                <c:pt idx="2">
                  <c:v>421</c:v>
                </c:pt>
                <c:pt idx="3">
                  <c:v>423</c:v>
                </c:pt>
                <c:pt idx="4">
                  <c:v>439</c:v>
                </c:pt>
                <c:pt idx="5">
                  <c:v>479</c:v>
                </c:pt>
                <c:pt idx="6">
                  <c:v>517</c:v>
                </c:pt>
                <c:pt idx="7">
                  <c:v>563</c:v>
                </c:pt>
                <c:pt idx="8">
                  <c:v>589</c:v>
                </c:pt>
                <c:pt idx="9">
                  <c:v>609</c:v>
                </c:pt>
                <c:pt idx="10">
                  <c:v>609</c:v>
                </c:pt>
                <c:pt idx="11">
                  <c:v>611</c:v>
                </c:pt>
                <c:pt idx="12">
                  <c:v>613</c:v>
                </c:pt>
                <c:pt idx="13">
                  <c:v>640</c:v>
                </c:pt>
                <c:pt idx="14">
                  <c:v>672</c:v>
                </c:pt>
                <c:pt idx="15">
                  <c:v>700</c:v>
                </c:pt>
                <c:pt idx="16">
                  <c:v>732</c:v>
                </c:pt>
                <c:pt idx="17">
                  <c:v>748</c:v>
                </c:pt>
                <c:pt idx="18">
                  <c:v>749</c:v>
                </c:pt>
                <c:pt idx="19">
                  <c:v>770</c:v>
                </c:pt>
                <c:pt idx="20">
                  <c:v>774</c:v>
                </c:pt>
                <c:pt idx="21">
                  <c:v>801</c:v>
                </c:pt>
                <c:pt idx="22">
                  <c:v>853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9C9-42CB-A23D-927EE62346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5031760"/>
        <c:axId val="976368992"/>
      </c:scatterChart>
      <c:valAx>
        <c:axId val="70503176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76368992"/>
        <c:crosses val="autoZero"/>
        <c:crossBetween val="midCat"/>
      </c:valAx>
      <c:valAx>
        <c:axId val="9763689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03176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9.3136482939632559E-2"/>
          <c:y val="0.17171296296296298"/>
          <c:w val="0.87753018372703417"/>
          <c:h val="0.74403579760863225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LinearRegression_1!$F$2</c:f>
              <c:strCache>
                <c:ptCount val="1"/>
                <c:pt idx="0">
                  <c:v>dondruma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LinearRegression_1!$E$3:$E$15</c:f>
              <c:numCache>
                <c:formatCode>General</c:formatCode>
                <c:ptCount val="13"/>
                <c:pt idx="0">
                  <c:v>20</c:v>
                </c:pt>
                <c:pt idx="1">
                  <c:v>21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25</c:v>
                </c:pt>
                <c:pt idx="6">
                  <c:v>27</c:v>
                </c:pt>
                <c:pt idx="7">
                  <c:v>32</c:v>
                </c:pt>
                <c:pt idx="8">
                  <c:v>33</c:v>
                </c:pt>
                <c:pt idx="9">
                  <c:v>33</c:v>
                </c:pt>
                <c:pt idx="10">
                  <c:v>35</c:v>
                </c:pt>
                <c:pt idx="11">
                  <c:v>38</c:v>
                </c:pt>
                <c:pt idx="12">
                  <c:v>39</c:v>
                </c:pt>
              </c:numCache>
            </c:numRef>
          </c:xVal>
          <c:yVal>
            <c:numRef>
              <c:f>LinearRegression_1!$F$3:$F$15</c:f>
              <c:numCache>
                <c:formatCode>General</c:formatCode>
                <c:ptCount val="13"/>
                <c:pt idx="0">
                  <c:v>122</c:v>
                </c:pt>
                <c:pt idx="1">
                  <c:v>141</c:v>
                </c:pt>
                <c:pt idx="2">
                  <c:v>142</c:v>
                </c:pt>
                <c:pt idx="3">
                  <c:v>145</c:v>
                </c:pt>
                <c:pt idx="4">
                  <c:v>148</c:v>
                </c:pt>
                <c:pt idx="5">
                  <c:v>178</c:v>
                </c:pt>
                <c:pt idx="6">
                  <c:v>204</c:v>
                </c:pt>
                <c:pt idx="7">
                  <c:v>225</c:v>
                </c:pt>
                <c:pt idx="8">
                  <c:v>227</c:v>
                </c:pt>
                <c:pt idx="9">
                  <c:v>229</c:v>
                </c:pt>
                <c:pt idx="10">
                  <c:v>237</c:v>
                </c:pt>
                <c:pt idx="11">
                  <c:v>266</c:v>
                </c:pt>
                <c:pt idx="12">
                  <c:v>296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B6C-453F-BB22-6335AB2BBF5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38243679"/>
        <c:axId val="872679167"/>
      </c:scatterChart>
      <c:valAx>
        <c:axId val="113824367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72679167"/>
        <c:crosses val="autoZero"/>
        <c:crossBetween val="midCat"/>
      </c:valAx>
      <c:valAx>
        <c:axId val="872679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38243679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0846318440340835E-2"/>
          <c:y val="0.14932078742696611"/>
          <c:w val="0.90472364374226322"/>
          <c:h val="0.70071660263082058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LinearRegression_1!$F$2</c:f>
              <c:strCache>
                <c:ptCount val="1"/>
                <c:pt idx="0">
                  <c:v>dondruma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69850">
                <a:solidFill>
                  <a:schemeClr val="accent1"/>
                </a:solidFill>
              </a:ln>
              <a:effectLst/>
            </c:spPr>
          </c:marker>
          <c:xVal>
            <c:numRef>
              <c:f>LinearRegression_1!$E$3:$E$15</c:f>
              <c:numCache>
                <c:formatCode>General</c:formatCode>
                <c:ptCount val="13"/>
                <c:pt idx="0">
                  <c:v>20</c:v>
                </c:pt>
                <c:pt idx="1">
                  <c:v>21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25</c:v>
                </c:pt>
                <c:pt idx="6">
                  <c:v>27</c:v>
                </c:pt>
                <c:pt idx="7">
                  <c:v>32</c:v>
                </c:pt>
                <c:pt idx="8">
                  <c:v>33</c:v>
                </c:pt>
                <c:pt idx="9">
                  <c:v>33</c:v>
                </c:pt>
                <c:pt idx="10">
                  <c:v>35</c:v>
                </c:pt>
                <c:pt idx="11">
                  <c:v>38</c:v>
                </c:pt>
                <c:pt idx="12">
                  <c:v>39</c:v>
                </c:pt>
              </c:numCache>
            </c:numRef>
          </c:xVal>
          <c:yVal>
            <c:numRef>
              <c:f>LinearRegression_1!$F$3:$F$15</c:f>
              <c:numCache>
                <c:formatCode>General</c:formatCode>
                <c:ptCount val="13"/>
                <c:pt idx="0">
                  <c:v>122</c:v>
                </c:pt>
                <c:pt idx="1">
                  <c:v>141</c:v>
                </c:pt>
                <c:pt idx="2">
                  <c:v>142</c:v>
                </c:pt>
                <c:pt idx="3">
                  <c:v>145</c:v>
                </c:pt>
                <c:pt idx="4">
                  <c:v>148</c:v>
                </c:pt>
                <c:pt idx="5">
                  <c:v>178</c:v>
                </c:pt>
                <c:pt idx="6">
                  <c:v>204</c:v>
                </c:pt>
                <c:pt idx="7">
                  <c:v>225</c:v>
                </c:pt>
                <c:pt idx="8">
                  <c:v>227</c:v>
                </c:pt>
                <c:pt idx="9">
                  <c:v>229</c:v>
                </c:pt>
                <c:pt idx="10">
                  <c:v>237</c:v>
                </c:pt>
                <c:pt idx="11">
                  <c:v>266</c:v>
                </c:pt>
                <c:pt idx="12">
                  <c:v>296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AE53-4914-BF6B-7E46210508C5}"/>
            </c:ext>
          </c:extLst>
        </c:ser>
        <c:ser>
          <c:idx val="1"/>
          <c:order val="1"/>
          <c:tx>
            <c:strRef>
              <c:f>LinearRegression_1!$G$2</c:f>
              <c:strCache>
                <c:ptCount val="1"/>
                <c:pt idx="0">
                  <c:v>Predicted dondruma</c:v>
                </c:pt>
              </c:strCache>
            </c:strRef>
          </c:tx>
          <c:spPr>
            <a:ln w="2540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LinearRegression_1!$E$3:$E$15</c:f>
              <c:numCache>
                <c:formatCode>General</c:formatCode>
                <c:ptCount val="13"/>
                <c:pt idx="0">
                  <c:v>20</c:v>
                </c:pt>
                <c:pt idx="1">
                  <c:v>21</c:v>
                </c:pt>
                <c:pt idx="2">
                  <c:v>21</c:v>
                </c:pt>
                <c:pt idx="3">
                  <c:v>22</c:v>
                </c:pt>
                <c:pt idx="4">
                  <c:v>23</c:v>
                </c:pt>
                <c:pt idx="5">
                  <c:v>25</c:v>
                </c:pt>
                <c:pt idx="6">
                  <c:v>27</c:v>
                </c:pt>
                <c:pt idx="7">
                  <c:v>32</c:v>
                </c:pt>
                <c:pt idx="8">
                  <c:v>33</c:v>
                </c:pt>
                <c:pt idx="9">
                  <c:v>33</c:v>
                </c:pt>
                <c:pt idx="10">
                  <c:v>35</c:v>
                </c:pt>
                <c:pt idx="11">
                  <c:v>38</c:v>
                </c:pt>
                <c:pt idx="12">
                  <c:v>39</c:v>
                </c:pt>
              </c:numCache>
            </c:numRef>
          </c:xVal>
          <c:yVal>
            <c:numRef>
              <c:f>LinearRegression_1!$G$3:$G$15</c:f>
              <c:numCache>
                <c:formatCode>General</c:formatCode>
                <c:ptCount val="13"/>
                <c:pt idx="0">
                  <c:v>130.89934888768315</c:v>
                </c:pt>
                <c:pt idx="1">
                  <c:v>138.7737384698861</c:v>
                </c:pt>
                <c:pt idx="2">
                  <c:v>138.7737384698861</c:v>
                </c:pt>
                <c:pt idx="3">
                  <c:v>146.64812805208902</c:v>
                </c:pt>
                <c:pt idx="4">
                  <c:v>154.52251763429194</c:v>
                </c:pt>
                <c:pt idx="5">
                  <c:v>170.27129679869779</c:v>
                </c:pt>
                <c:pt idx="6">
                  <c:v>186.02007596310366</c:v>
                </c:pt>
                <c:pt idx="7">
                  <c:v>225.39202387411831</c:v>
                </c:pt>
                <c:pt idx="8">
                  <c:v>233.26641345632126</c:v>
                </c:pt>
                <c:pt idx="9">
                  <c:v>233.26641345632126</c:v>
                </c:pt>
                <c:pt idx="10">
                  <c:v>249.01519262072711</c:v>
                </c:pt>
                <c:pt idx="11">
                  <c:v>272.63836136733585</c:v>
                </c:pt>
                <c:pt idx="12">
                  <c:v>280.51275094953883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AE53-4914-BF6B-7E46210508C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59030191"/>
        <c:axId val="1080796799"/>
      </c:scatterChart>
      <c:valAx>
        <c:axId val="1659030191"/>
        <c:scaling>
          <c:orientation val="minMax"/>
          <c:min val="2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0796799"/>
        <c:crosses val="autoZero"/>
        <c:crossBetween val="midCat"/>
      </c:valAx>
      <c:valAx>
        <c:axId val="1080796799"/>
        <c:scaling>
          <c:orientation val="minMax"/>
          <c:min val="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5903019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6423808670150909"/>
          <c:y val="5.9360730593607303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5.4942519225377039E-2"/>
          <c:y val="0.19219178082191782"/>
          <c:w val="0.88640015444654352"/>
          <c:h val="0.72471110631718982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LinearRegression_2!$D$3:$D$4</c:f>
              <c:strCache>
                <c:ptCount val="2"/>
                <c:pt idx="0">
                  <c:v>House Price in $ 1000s</c:v>
                </c:pt>
                <c:pt idx="1">
                  <c:v>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LinearRegression_2!$C$5:$C$14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LinearRegression_2!$D$5:$D$14</c:f>
              <c:numCache>
                <c:formatCode>General</c:formatCode>
                <c:ptCount val="10"/>
                <c:pt idx="0">
                  <c:v>245</c:v>
                </c:pt>
                <c:pt idx="1">
                  <c:v>312</c:v>
                </c:pt>
                <c:pt idx="2">
                  <c:v>279</c:v>
                </c:pt>
                <c:pt idx="3">
                  <c:v>308</c:v>
                </c:pt>
                <c:pt idx="4">
                  <c:v>199</c:v>
                </c:pt>
                <c:pt idx="5">
                  <c:v>219</c:v>
                </c:pt>
                <c:pt idx="6">
                  <c:v>405</c:v>
                </c:pt>
                <c:pt idx="7">
                  <c:v>324</c:v>
                </c:pt>
                <c:pt idx="8">
                  <c:v>319</c:v>
                </c:pt>
                <c:pt idx="9">
                  <c:v>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C6D-46FC-BABB-1B2D94F68FF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664364671"/>
        <c:axId val="1080831743"/>
      </c:scatterChart>
      <c:valAx>
        <c:axId val="166436467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0831743"/>
        <c:crosses val="autoZero"/>
        <c:crossBetween val="midCat"/>
      </c:valAx>
      <c:valAx>
        <c:axId val="1080831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436467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581042754271101E-2"/>
          <c:y val="0.28745370370370371"/>
          <c:w val="0.86486351706036746"/>
          <c:h val="0.61498432487605714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LinearRegression_2!$D$4</c:f>
              <c:strCache>
                <c:ptCount val="1"/>
                <c:pt idx="0">
                  <c:v>Y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63500">
                <a:solidFill>
                  <a:schemeClr val="accent1"/>
                </a:solidFill>
              </a:ln>
              <a:effectLst/>
            </c:spPr>
          </c:marker>
          <c:xVal>
            <c:numRef>
              <c:f>LinearRegression_2!$C$5:$C$14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LinearRegression_2!$D$5:$D$14</c:f>
              <c:numCache>
                <c:formatCode>General</c:formatCode>
                <c:ptCount val="10"/>
                <c:pt idx="0">
                  <c:v>245</c:v>
                </c:pt>
                <c:pt idx="1">
                  <c:v>312</c:v>
                </c:pt>
                <c:pt idx="2">
                  <c:v>279</c:v>
                </c:pt>
                <c:pt idx="3">
                  <c:v>308</c:v>
                </c:pt>
                <c:pt idx="4">
                  <c:v>199</c:v>
                </c:pt>
                <c:pt idx="5">
                  <c:v>219</c:v>
                </c:pt>
                <c:pt idx="6">
                  <c:v>405</c:v>
                </c:pt>
                <c:pt idx="7">
                  <c:v>324</c:v>
                </c:pt>
                <c:pt idx="8">
                  <c:v>319</c:v>
                </c:pt>
                <c:pt idx="9">
                  <c:v>255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83A-4E05-A62D-EA36354E9F15}"/>
            </c:ext>
          </c:extLst>
        </c:ser>
        <c:ser>
          <c:idx val="1"/>
          <c:order val="1"/>
          <c:tx>
            <c:strRef>
              <c:f>LinearRegression_2!$E$4</c:f>
              <c:strCache>
                <c:ptCount val="1"/>
                <c:pt idx="0">
                  <c:v>Predicted Y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LinearRegression_2!$C$5:$C$14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LinearRegression_2!$E$5:$E$14</c:f>
              <c:numCache>
                <c:formatCode>General</c:formatCode>
                <c:ptCount val="10"/>
                <c:pt idx="0">
                  <c:v>251.92316258351892</c:v>
                </c:pt>
                <c:pt idx="1">
                  <c:v>273.87671014953867</c:v>
                </c:pt>
                <c:pt idx="2">
                  <c:v>284.8534839325485</c:v>
                </c:pt>
                <c:pt idx="3">
                  <c:v>304.06283805281578</c:v>
                </c:pt>
                <c:pt idx="4">
                  <c:v>218.99284123448933</c:v>
                </c:pt>
                <c:pt idx="5">
                  <c:v>268.38832325803372</c:v>
                </c:pt>
                <c:pt idx="6">
                  <c:v>356.20251352211261</c:v>
                </c:pt>
                <c:pt idx="7">
                  <c:v>367.1792873051225</c:v>
                </c:pt>
                <c:pt idx="8">
                  <c:v>254.66735602927139</c:v>
                </c:pt>
                <c:pt idx="9">
                  <c:v>284.8534839325485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83A-4E05-A62D-EA36354E9F1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05889983"/>
        <c:axId val="1080793055"/>
      </c:scatterChart>
      <c:valAx>
        <c:axId val="1705889983"/>
        <c:scaling>
          <c:orientation val="minMax"/>
          <c:min val="8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80793055"/>
        <c:crosses val="autoZero"/>
        <c:crossBetween val="midCat"/>
      </c:valAx>
      <c:valAx>
        <c:axId val="10807930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0588998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3648600174978133"/>
          <c:y val="4.6296296296296294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2567147856517933E-2"/>
          <c:y val="0.19721055701370663"/>
          <c:w val="0.86987729658792656"/>
          <c:h val="0.77736111111111106"/>
        </c:manualLayout>
      </c:layout>
      <c:scatterChart>
        <c:scatterStyle val="lineMarker"/>
        <c:varyColors val="0"/>
        <c:ser>
          <c:idx val="0"/>
          <c:order val="0"/>
          <c:tx>
            <c:strRef>
              <c:f>LinearRegression_2!$Q$27:$Q$28</c:f>
              <c:strCache>
                <c:ptCount val="2"/>
                <c:pt idx="0">
                  <c:v>Square Feet</c:v>
                </c:pt>
                <c:pt idx="1">
                  <c:v>Residuals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xVal>
            <c:numRef>
              <c:f>LinearRegression_2!$P$29:$P$38</c:f>
              <c:numCache>
                <c:formatCode>General</c:formatCode>
                <c:ptCount val="10"/>
                <c:pt idx="0">
                  <c:v>1400</c:v>
                </c:pt>
                <c:pt idx="1">
                  <c:v>1600</c:v>
                </c:pt>
                <c:pt idx="2">
                  <c:v>1700</c:v>
                </c:pt>
                <c:pt idx="3">
                  <c:v>1875</c:v>
                </c:pt>
                <c:pt idx="4">
                  <c:v>1100</c:v>
                </c:pt>
                <c:pt idx="5">
                  <c:v>1550</c:v>
                </c:pt>
                <c:pt idx="6">
                  <c:v>2350</c:v>
                </c:pt>
                <c:pt idx="7">
                  <c:v>2450</c:v>
                </c:pt>
                <c:pt idx="8">
                  <c:v>1425</c:v>
                </c:pt>
                <c:pt idx="9">
                  <c:v>1700</c:v>
                </c:pt>
              </c:numCache>
            </c:numRef>
          </c:xVal>
          <c:yVal>
            <c:numRef>
              <c:f>LinearRegression_2!$Q$29:$Q$38</c:f>
              <c:numCache>
                <c:formatCode>General</c:formatCode>
                <c:ptCount val="10"/>
                <c:pt idx="0">
                  <c:v>-6.9231625835189163</c:v>
                </c:pt>
                <c:pt idx="1">
                  <c:v>38.123289850461333</c:v>
                </c:pt>
                <c:pt idx="2">
                  <c:v>-5.8534839325484995</c:v>
                </c:pt>
                <c:pt idx="3">
                  <c:v>3.9371619471842223</c:v>
                </c:pt>
                <c:pt idx="4">
                  <c:v>-19.992841234489333</c:v>
                </c:pt>
                <c:pt idx="5">
                  <c:v>-49.388323258033722</c:v>
                </c:pt>
                <c:pt idx="6">
                  <c:v>48.797486477887389</c:v>
                </c:pt>
                <c:pt idx="7">
                  <c:v>-43.1792873051225</c:v>
                </c:pt>
                <c:pt idx="8">
                  <c:v>64.332643970728611</c:v>
                </c:pt>
                <c:pt idx="9">
                  <c:v>-29.8534839325485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7800-411B-94B8-0248549A67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66609616"/>
        <c:axId val="1729729856"/>
      </c:scatterChart>
      <c:valAx>
        <c:axId val="19666096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9729856"/>
        <c:crosses val="autoZero"/>
        <c:crossBetween val="midCat"/>
      </c:valAx>
      <c:valAx>
        <c:axId val="1729729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666096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linear"/>
            <c:dispRSqr val="0"/>
            <c:dispEq val="0"/>
          </c:trendline>
          <c:yVal>
            <c:numRef>
              <c:f>LinearRegression_2!$F$5:$F$14</c:f>
              <c:numCache>
                <c:formatCode>General</c:formatCode>
                <c:ptCount val="10"/>
                <c:pt idx="0">
                  <c:v>-6.9231625835189163</c:v>
                </c:pt>
                <c:pt idx="1">
                  <c:v>38.123289850461333</c:v>
                </c:pt>
                <c:pt idx="2">
                  <c:v>-5.8534839325484995</c:v>
                </c:pt>
                <c:pt idx="3">
                  <c:v>3.9371619471842223</c:v>
                </c:pt>
                <c:pt idx="4">
                  <c:v>-19.992841234489333</c:v>
                </c:pt>
                <c:pt idx="5">
                  <c:v>-49.388323258033722</c:v>
                </c:pt>
                <c:pt idx="6">
                  <c:v>48.797486477887389</c:v>
                </c:pt>
                <c:pt idx="7">
                  <c:v>-43.1792873051225</c:v>
                </c:pt>
                <c:pt idx="8">
                  <c:v>64.332643970728611</c:v>
                </c:pt>
                <c:pt idx="9">
                  <c:v>-29.8534839325485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189-460B-8CDB-45F379B08F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950950304"/>
        <c:axId val="1723615856"/>
      </c:scatterChart>
      <c:valAx>
        <c:axId val="19509503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23615856"/>
        <c:crosses val="autoZero"/>
        <c:crossBetween val="midCat"/>
      </c:valAx>
      <c:valAx>
        <c:axId val="172361585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5095030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'z-score'!$I$4:$I$26</c:f>
              <c:numCache>
                <c:formatCode>General</c:formatCode>
                <c:ptCount val="23"/>
                <c:pt idx="0">
                  <c:v>-1.5368691021881791</c:v>
                </c:pt>
                <c:pt idx="1">
                  <c:v>-1.509189209822819</c:v>
                </c:pt>
                <c:pt idx="2">
                  <c:v>-1.4543303774193257</c:v>
                </c:pt>
                <c:pt idx="3">
                  <c:v>-1.2434090597190399</c:v>
                </c:pt>
                <c:pt idx="4">
                  <c:v>-0.70150065906195191</c:v>
                </c:pt>
                <c:pt idx="5">
                  <c:v>-0.65362621749352545</c:v>
                </c:pt>
                <c:pt idx="6">
                  <c:v>-0.64963199716185316</c:v>
                </c:pt>
                <c:pt idx="7">
                  <c:v>-0.56751065328839989</c:v>
                </c:pt>
                <c:pt idx="8">
                  <c:v>-0.42603498872692663</c:v>
                </c:pt>
                <c:pt idx="9">
                  <c:v>-0.34337969514916394</c:v>
                </c:pt>
                <c:pt idx="10">
                  <c:v>4.3854876849042532E-2</c:v>
                </c:pt>
                <c:pt idx="11">
                  <c:v>7.1645426081477115E-2</c:v>
                </c:pt>
                <c:pt idx="12">
                  <c:v>0.13249592481982003</c:v>
                </c:pt>
                <c:pt idx="13">
                  <c:v>0.13819348134701606</c:v>
                </c:pt>
                <c:pt idx="14">
                  <c:v>0.19615010042230788</c:v>
                </c:pt>
                <c:pt idx="15">
                  <c:v>0.3618583569915057</c:v>
                </c:pt>
                <c:pt idx="16">
                  <c:v>0.47887564557610013</c:v>
                </c:pt>
                <c:pt idx="17">
                  <c:v>0.53593605956085399</c:v>
                </c:pt>
                <c:pt idx="18">
                  <c:v>0.67832517517597091</c:v>
                </c:pt>
                <c:pt idx="19">
                  <c:v>1.3905028969870621</c:v>
                </c:pt>
                <c:pt idx="20">
                  <c:v>1.4467320535382653</c:v>
                </c:pt>
                <c:pt idx="21">
                  <c:v>1.7863737810172096</c:v>
                </c:pt>
                <c:pt idx="22">
                  <c:v>1.8245381816645501</c:v>
                </c:pt>
              </c:numCache>
            </c:numRef>
          </c:xVal>
          <c:yVal>
            <c:numRef>
              <c:f>'z-score'!$J$4:$J$26</c:f>
              <c:numCache>
                <c:formatCode>General</c:formatCode>
                <c:ptCount val="23"/>
                <c:pt idx="0">
                  <c:v>-1.5098956943938826</c:v>
                </c:pt>
                <c:pt idx="1">
                  <c:v>-1.4158221764476917</c:v>
                </c:pt>
                <c:pt idx="2">
                  <c:v>-1.401349327532893</c:v>
                </c:pt>
                <c:pt idx="3">
                  <c:v>-1.3868764786180943</c:v>
                </c:pt>
                <c:pt idx="4">
                  <c:v>-1.2710936872997054</c:v>
                </c:pt>
                <c:pt idx="5">
                  <c:v>-0.9816367090037329</c:v>
                </c:pt>
                <c:pt idx="6">
                  <c:v>-0.70665257962255901</c:v>
                </c:pt>
                <c:pt idx="7">
                  <c:v>-0.37377705458219068</c:v>
                </c:pt>
                <c:pt idx="8">
                  <c:v>-0.18563001868980858</c:v>
                </c:pt>
                <c:pt idx="9">
                  <c:v>-4.0901529541822343E-2</c:v>
                </c:pt>
                <c:pt idx="10">
                  <c:v>-4.0901529541822343E-2</c:v>
                </c:pt>
                <c:pt idx="11">
                  <c:v>-2.6428680627023717E-2</c:v>
                </c:pt>
                <c:pt idx="12">
                  <c:v>-1.1955831712225093E-2</c:v>
                </c:pt>
                <c:pt idx="13">
                  <c:v>0.18342762863755632</c:v>
                </c:pt>
                <c:pt idx="14">
                  <c:v>0.41499321127433431</c:v>
                </c:pt>
                <c:pt idx="15">
                  <c:v>0.61761309608151505</c:v>
                </c:pt>
                <c:pt idx="16">
                  <c:v>0.849178678718293</c:v>
                </c:pt>
                <c:pt idx="17">
                  <c:v>0.96496147003668198</c:v>
                </c:pt>
                <c:pt idx="18">
                  <c:v>0.97219789449408134</c:v>
                </c:pt>
                <c:pt idx="19">
                  <c:v>1.1241628080994668</c:v>
                </c:pt>
                <c:pt idx="20">
                  <c:v>1.1531085059290642</c:v>
                </c:pt>
                <c:pt idx="21">
                  <c:v>1.3484919662788455</c:v>
                </c:pt>
                <c:pt idx="22">
                  <c:v>1.7247860380636097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E85-4E73-B38C-3501753CDEE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88454912"/>
        <c:axId val="1022651984"/>
      </c:scatterChart>
      <c:valAx>
        <c:axId val="98845491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2651984"/>
        <c:crosses val="autoZero"/>
        <c:crossBetween val="midCat"/>
      </c:valAx>
      <c:valAx>
        <c:axId val="10226519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8845491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correlation!$G$2</c:f>
              <c:strCache>
                <c:ptCount val="1"/>
                <c:pt idx="0">
                  <c:v>ice-cream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correlation!$F$3:$F$23</c:f>
              <c:numCache>
                <c:formatCode>General</c:formatCode>
                <c:ptCount val="21"/>
                <c:pt idx="0">
                  <c:v>20</c:v>
                </c:pt>
                <c:pt idx="1">
                  <c:v>21</c:v>
                </c:pt>
                <c:pt idx="2">
                  <c:v>23</c:v>
                </c:pt>
                <c:pt idx="3">
                  <c:v>23</c:v>
                </c:pt>
                <c:pt idx="4">
                  <c:v>25</c:v>
                </c:pt>
                <c:pt idx="5">
                  <c:v>26</c:v>
                </c:pt>
                <c:pt idx="6">
                  <c:v>26</c:v>
                </c:pt>
                <c:pt idx="7">
                  <c:v>26</c:v>
                </c:pt>
                <c:pt idx="8">
                  <c:v>27</c:v>
                </c:pt>
                <c:pt idx="9">
                  <c:v>27</c:v>
                </c:pt>
                <c:pt idx="10">
                  <c:v>28</c:v>
                </c:pt>
                <c:pt idx="11">
                  <c:v>29</c:v>
                </c:pt>
                <c:pt idx="12">
                  <c:v>29</c:v>
                </c:pt>
                <c:pt idx="13">
                  <c:v>32</c:v>
                </c:pt>
                <c:pt idx="14">
                  <c:v>32</c:v>
                </c:pt>
                <c:pt idx="15">
                  <c:v>33</c:v>
                </c:pt>
                <c:pt idx="16">
                  <c:v>34</c:v>
                </c:pt>
                <c:pt idx="17">
                  <c:v>37</c:v>
                </c:pt>
                <c:pt idx="18">
                  <c:v>38</c:v>
                </c:pt>
                <c:pt idx="19">
                  <c:v>38</c:v>
                </c:pt>
                <c:pt idx="20">
                  <c:v>39</c:v>
                </c:pt>
              </c:numCache>
            </c:numRef>
          </c:xVal>
          <c:yVal>
            <c:numRef>
              <c:f>correlation!$G$3:$G$23</c:f>
              <c:numCache>
                <c:formatCode>General</c:formatCode>
                <c:ptCount val="21"/>
                <c:pt idx="0">
                  <c:v>690</c:v>
                </c:pt>
                <c:pt idx="1">
                  <c:v>660</c:v>
                </c:pt>
                <c:pt idx="2">
                  <c:v>638</c:v>
                </c:pt>
                <c:pt idx="3">
                  <c:v>615</c:v>
                </c:pt>
                <c:pt idx="4">
                  <c:v>587</c:v>
                </c:pt>
                <c:pt idx="5">
                  <c:v>586</c:v>
                </c:pt>
                <c:pt idx="6">
                  <c:v>560</c:v>
                </c:pt>
                <c:pt idx="7">
                  <c:v>558</c:v>
                </c:pt>
                <c:pt idx="8">
                  <c:v>497</c:v>
                </c:pt>
                <c:pt idx="9">
                  <c:v>466</c:v>
                </c:pt>
                <c:pt idx="10">
                  <c:v>459</c:v>
                </c:pt>
                <c:pt idx="11">
                  <c:v>406</c:v>
                </c:pt>
                <c:pt idx="12">
                  <c:v>392</c:v>
                </c:pt>
                <c:pt idx="13">
                  <c:v>372</c:v>
                </c:pt>
                <c:pt idx="14">
                  <c:v>371</c:v>
                </c:pt>
                <c:pt idx="15">
                  <c:v>332</c:v>
                </c:pt>
                <c:pt idx="16">
                  <c:v>295</c:v>
                </c:pt>
                <c:pt idx="17">
                  <c:v>271</c:v>
                </c:pt>
                <c:pt idx="18">
                  <c:v>236</c:v>
                </c:pt>
                <c:pt idx="19">
                  <c:v>207</c:v>
                </c:pt>
                <c:pt idx="20">
                  <c:v>202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221-4B80-A96E-EB990770F7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126643216"/>
        <c:axId val="1126570736"/>
      </c:scatterChart>
      <c:valAx>
        <c:axId val="1126643216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6570736"/>
        <c:crosses val="autoZero"/>
        <c:crossBetween val="midCat"/>
      </c:valAx>
      <c:valAx>
        <c:axId val="11265707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6643216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'binom_3 dist'!$J$2:$J$22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'binom_3 dist'!$K$2:$K$22</c:f>
              <c:numCache>
                <c:formatCode>0.00%</c:formatCode>
                <c:ptCount val="21"/>
                <c:pt idx="0">
                  <c:v>2.9576466371269977E-4</c:v>
                </c:pt>
                <c:pt idx="1">
                  <c:v>2.6096882092296971E-3</c:v>
                </c:pt>
                <c:pt idx="2">
                  <c:v>1.1283063728140171E-2</c:v>
                </c:pt>
                <c:pt idx="3">
                  <c:v>3.1858062291219305E-2</c:v>
                </c:pt>
                <c:pt idx="4">
                  <c:v>6.6058629162675353E-2</c:v>
                </c:pt>
                <c:pt idx="5">
                  <c:v>0.10724812734646116</c:v>
                </c:pt>
                <c:pt idx="6">
                  <c:v>0.14194605089972803</c:v>
                </c:pt>
                <c:pt idx="7">
                  <c:v>0.1574527623425554</c:v>
                </c:pt>
                <c:pt idx="8">
                  <c:v>0.1493485760455121</c:v>
                </c:pt>
                <c:pt idx="9">
                  <c:v>0.12299294497865705</c:v>
                </c:pt>
                <c:pt idx="10">
                  <c:v>8.8989013131616543E-2</c:v>
                </c:pt>
                <c:pt idx="11">
                  <c:v>5.710524906841704E-2</c:v>
                </c:pt>
                <c:pt idx="12">
                  <c:v>3.2751539906886208E-2</c:v>
                </c:pt>
                <c:pt idx="13">
                  <c:v>1.6894459499479784E-2</c:v>
                </c:pt>
                <c:pt idx="14">
                  <c:v>7.8793487581607386E-3</c:v>
                </c:pt>
                <c:pt idx="15">
                  <c:v>3.337135944632781E-3</c:v>
                </c:pt>
                <c:pt idx="16">
                  <c:v>1.2882326256854486E-3</c:v>
                </c:pt>
                <c:pt idx="17">
                  <c:v>4.5467033847721838E-4</c:v>
                </c:pt>
                <c:pt idx="18">
                  <c:v>1.4709922715439396E-4</c:v>
                </c:pt>
                <c:pt idx="19">
                  <c:v>4.371989413876719E-5</c:v>
                </c:pt>
                <c:pt idx="20">
                  <c:v>1.1958676926192239E-5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64-4995-B2BC-45C10BD3CA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20002815"/>
        <c:axId val="1412227327"/>
      </c:barChart>
      <c:catAx>
        <c:axId val="142000281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2227327"/>
        <c:crosses val="autoZero"/>
        <c:auto val="1"/>
        <c:lblAlgn val="ctr"/>
        <c:lblOffset val="100"/>
        <c:noMultiLvlLbl val="0"/>
      </c:catAx>
      <c:valAx>
        <c:axId val="141222732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00028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44838188976377952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04917104111986"/>
          <c:y val="0.19486111111111112"/>
          <c:w val="0.88498840769903764"/>
          <c:h val="0.70294728783902016"/>
        </c:manualLayout>
      </c:layout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 w="25400">
              <a:noFill/>
            </a:ln>
            <a:effectLst/>
          </c:spPr>
          <c:invertIfNegative val="0"/>
          <c:cat>
            <c:numRef>
              <c:f>'binom_3 dist'!$R$2:$R$24</c:f>
              <c:numCache>
                <c:formatCode>General</c:formatCode>
                <c:ptCount val="23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  <c:pt idx="21">
                  <c:v>21</c:v>
                </c:pt>
                <c:pt idx="22">
                  <c:v>22</c:v>
                </c:pt>
              </c:numCache>
            </c:numRef>
          </c:cat>
          <c:val>
            <c:numRef>
              <c:f>'binom_3 dist'!$S$2:$S$24</c:f>
              <c:numCache>
                <c:formatCode>0%</c:formatCode>
                <c:ptCount val="23"/>
                <c:pt idx="0">
                  <c:v>3.1381059609000064E-12</c:v>
                </c:pt>
                <c:pt idx="1">
                  <c:v>1.6108943932620036E-10</c:v>
                </c:pt>
                <c:pt idx="2">
                  <c:v>3.946691263491921E-9</c:v>
                </c:pt>
                <c:pt idx="3">
                  <c:v>6.1392975209874291E-8</c:v>
                </c:pt>
                <c:pt idx="4">
                  <c:v>6.8043880857610526E-7</c:v>
                </c:pt>
                <c:pt idx="5">
                  <c:v>5.715685992039289E-6</c:v>
                </c:pt>
                <c:pt idx="6">
                  <c:v>3.7787035169593057E-5</c:v>
                </c:pt>
                <c:pt idx="7">
                  <c:v>2.0153085423783005E-4</c:v>
                </c:pt>
                <c:pt idx="8">
                  <c:v>8.8169748729050588E-4</c:v>
                </c:pt>
                <c:pt idx="9">
                  <c:v>3.2002353242396035E-3</c:v>
                </c:pt>
                <c:pt idx="10">
                  <c:v>9.7073804835267844E-3</c:v>
                </c:pt>
                <c:pt idx="11">
                  <c:v>2.4709695776250012E-2</c:v>
                </c:pt>
                <c:pt idx="12">
                  <c:v>5.2851293743645861E-2</c:v>
                </c:pt>
                <c:pt idx="13">
                  <c:v>9.4861296462954145E-2</c:v>
                </c:pt>
                <c:pt idx="14">
                  <c:v>0.14229194469443121</c:v>
                </c:pt>
                <c:pt idx="15">
                  <c:v>0.17707442006418098</c:v>
                </c:pt>
                <c:pt idx="16">
                  <c:v>0.18076347048218472</c:v>
                </c:pt>
                <c:pt idx="17">
                  <c:v>0.14886403451474031</c:v>
                </c:pt>
                <c:pt idx="18">
                  <c:v>9.6485948296590865E-2</c:v>
                </c:pt>
                <c:pt idx="19">
                  <c:v>4.7396606180781467E-2</c:v>
                </c:pt>
                <c:pt idx="20">
                  <c:v>1.6588812163273507E-2</c:v>
                </c:pt>
                <c:pt idx="21">
                  <c:v>3.6864027029496669E-3</c:v>
                </c:pt>
                <c:pt idx="22">
                  <c:v>3.9098210485829821E-4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475-44E0-AA0D-C91E676B79B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412209855"/>
        <c:axId val="1345125167"/>
      </c:barChart>
      <c:catAx>
        <c:axId val="141220985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5125167"/>
        <c:crosses val="autoZero"/>
        <c:auto val="1"/>
        <c:lblAlgn val="ctr"/>
        <c:lblOffset val="100"/>
        <c:noMultiLvlLbl val="0"/>
      </c:catAx>
      <c:valAx>
        <c:axId val="1345125167"/>
        <c:scaling>
          <c:orientation val="minMax"/>
        </c:scaling>
        <c:delete val="0"/>
        <c:axPos val="l"/>
        <c:numFmt formatCode="0%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12209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'binom_3 dist'!$L$1</c:f>
              <c:strCache>
                <c:ptCount val="1"/>
                <c:pt idx="0">
                  <c:v>p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'binom_3 dist'!$J$2:$J$22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'binom_3 dist'!$L$2:$L$22</c:f>
              <c:numCache>
                <c:formatCode>0.00%</c:formatCode>
                <c:ptCount val="21"/>
                <c:pt idx="0">
                  <c:v>2.9576466371269977E-4</c:v>
                </c:pt>
                <c:pt idx="1">
                  <c:v>2.905452872942403E-3</c:v>
                </c:pt>
                <c:pt idx="2">
                  <c:v>1.4188516601082592E-2</c:v>
                </c:pt>
                <c:pt idx="3">
                  <c:v>4.6046578892301938E-2</c:v>
                </c:pt>
                <c:pt idx="4">
                  <c:v>0.11210520805497745</c:v>
                </c:pt>
                <c:pt idx="5">
                  <c:v>0.21935333540143856</c:v>
                </c:pt>
                <c:pt idx="6">
                  <c:v>0.3612993863011667</c:v>
                </c:pt>
                <c:pt idx="7">
                  <c:v>0.5187521486437221</c:v>
                </c:pt>
                <c:pt idx="8">
                  <c:v>0.66810072468923387</c:v>
                </c:pt>
                <c:pt idx="9">
                  <c:v>0.79109366966789119</c:v>
                </c:pt>
                <c:pt idx="10">
                  <c:v>0.88008268279950741</c:v>
                </c:pt>
                <c:pt idx="11">
                  <c:v>0.93718793186792437</c:v>
                </c:pt>
                <c:pt idx="12">
                  <c:v>0.96993947177481066</c:v>
                </c:pt>
                <c:pt idx="13">
                  <c:v>0.98683393127429053</c:v>
                </c:pt>
                <c:pt idx="14">
                  <c:v>0.99471328003245119</c:v>
                </c:pt>
                <c:pt idx="15">
                  <c:v>0.99805041597708399</c:v>
                </c:pt>
                <c:pt idx="16">
                  <c:v>0.99933864860276955</c:v>
                </c:pt>
                <c:pt idx="17">
                  <c:v>0.99979331894124668</c:v>
                </c:pt>
                <c:pt idx="18">
                  <c:v>0.99994041816840107</c:v>
                </c:pt>
                <c:pt idx="19">
                  <c:v>0.99998413806253983</c:v>
                </c:pt>
                <c:pt idx="20">
                  <c:v>0.9999960967394661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D6-4DCA-BD3D-47EC872E95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445772863"/>
        <c:axId val="1448379071"/>
      </c:barChart>
      <c:catAx>
        <c:axId val="1445772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8379071"/>
        <c:crosses val="autoZero"/>
        <c:auto val="1"/>
        <c:lblAlgn val="ctr"/>
        <c:lblOffset val="100"/>
        <c:noMultiLvlLbl val="0"/>
      </c:catAx>
      <c:valAx>
        <c:axId val="1448379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457728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'poisson dist'!$E$2</c:f>
              <c:strCache>
                <c:ptCount val="1"/>
                <c:pt idx="0">
                  <c:v>p, false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'poisson dist'!$D$3:$D$23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'poisson dist'!$E$3:$E$23</c:f>
              <c:numCache>
                <c:formatCode>0.0%</c:formatCode>
                <c:ptCount val="21"/>
                <c:pt idx="0">
                  <c:v>6.737946999085467E-3</c:v>
                </c:pt>
                <c:pt idx="1">
                  <c:v>3.368973499542733E-2</c:v>
                </c:pt>
                <c:pt idx="2">
                  <c:v>8.4224337488568335E-2</c:v>
                </c:pt>
                <c:pt idx="3">
                  <c:v>0.14037389581428059</c:v>
                </c:pt>
                <c:pt idx="4">
                  <c:v>0.17546736976785074</c:v>
                </c:pt>
                <c:pt idx="5">
                  <c:v>0.17546736976785071</c:v>
                </c:pt>
                <c:pt idx="6">
                  <c:v>0.14622280813987559</c:v>
                </c:pt>
                <c:pt idx="7">
                  <c:v>0.104444862957054</c:v>
                </c:pt>
                <c:pt idx="8">
                  <c:v>6.5278039348158706E-2</c:v>
                </c:pt>
                <c:pt idx="9">
                  <c:v>3.6265577415643749E-2</c:v>
                </c:pt>
                <c:pt idx="10">
                  <c:v>1.8132788707821874E-2</c:v>
                </c:pt>
                <c:pt idx="11">
                  <c:v>8.2421766853735742E-3</c:v>
                </c:pt>
                <c:pt idx="12">
                  <c:v>3.4342402855723282E-3</c:v>
                </c:pt>
                <c:pt idx="13">
                  <c:v>1.3208616482970471E-3</c:v>
                </c:pt>
                <c:pt idx="14">
                  <c:v>4.7173630296323246E-4</c:v>
                </c:pt>
                <c:pt idx="15">
                  <c:v>1.5724543432107704E-4</c:v>
                </c:pt>
                <c:pt idx="16">
                  <c:v>4.9139198225336609E-5</c:v>
                </c:pt>
                <c:pt idx="17">
                  <c:v>1.4452705360393124E-5</c:v>
                </c:pt>
                <c:pt idx="18">
                  <c:v>4.0146403778869831E-6</c:v>
                </c:pt>
                <c:pt idx="19">
                  <c:v>1.0564843099702586E-6</c:v>
                </c:pt>
                <c:pt idx="20">
                  <c:v>2.6412107749256427E-7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425-45F2-8023-9D010DD21C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335322751"/>
        <c:axId val="1340365615"/>
      </c:barChart>
      <c:catAx>
        <c:axId val="13353227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40365615"/>
        <c:crosses val="autoZero"/>
        <c:auto val="1"/>
        <c:lblAlgn val="ctr"/>
        <c:lblOffset val="100"/>
        <c:noMultiLvlLbl val="0"/>
      </c:catAx>
      <c:valAx>
        <c:axId val="13403656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53227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'poisson dist'!$F$2</c:f>
              <c:strCache>
                <c:ptCount val="1"/>
                <c:pt idx="0">
                  <c:v>p, true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'poisson dist'!$D$3:$D$23</c:f>
              <c:numCache>
                <c:formatCode>General</c:formatCode>
                <c:ptCount val="21"/>
                <c:pt idx="0">
                  <c:v>0</c:v>
                </c:pt>
                <c:pt idx="1">
                  <c:v>1</c:v>
                </c:pt>
                <c:pt idx="2">
                  <c:v>2</c:v>
                </c:pt>
                <c:pt idx="3">
                  <c:v>3</c:v>
                </c:pt>
                <c:pt idx="4">
                  <c:v>4</c:v>
                </c:pt>
                <c:pt idx="5">
                  <c:v>5</c:v>
                </c:pt>
                <c:pt idx="6">
                  <c:v>6</c:v>
                </c:pt>
                <c:pt idx="7">
                  <c:v>7</c:v>
                </c:pt>
                <c:pt idx="8">
                  <c:v>8</c:v>
                </c:pt>
                <c:pt idx="9">
                  <c:v>9</c:v>
                </c:pt>
                <c:pt idx="10">
                  <c:v>10</c:v>
                </c:pt>
                <c:pt idx="11">
                  <c:v>11</c:v>
                </c:pt>
                <c:pt idx="12">
                  <c:v>12</c:v>
                </c:pt>
                <c:pt idx="13">
                  <c:v>13</c:v>
                </c:pt>
                <c:pt idx="14">
                  <c:v>14</c:v>
                </c:pt>
                <c:pt idx="15">
                  <c:v>15</c:v>
                </c:pt>
                <c:pt idx="16">
                  <c:v>16</c:v>
                </c:pt>
                <c:pt idx="17">
                  <c:v>17</c:v>
                </c:pt>
                <c:pt idx="18">
                  <c:v>18</c:v>
                </c:pt>
                <c:pt idx="19">
                  <c:v>19</c:v>
                </c:pt>
                <c:pt idx="20">
                  <c:v>20</c:v>
                </c:pt>
              </c:numCache>
            </c:numRef>
          </c:cat>
          <c:val>
            <c:numRef>
              <c:f>'poisson dist'!$F$3:$F$23</c:f>
              <c:numCache>
                <c:formatCode>0.000000</c:formatCode>
                <c:ptCount val="21"/>
                <c:pt idx="0">
                  <c:v>6.737946999085467E-3</c:v>
                </c:pt>
                <c:pt idx="1">
                  <c:v>4.0427681994512799E-2</c:v>
                </c:pt>
                <c:pt idx="2">
                  <c:v>0.12465201948308113</c:v>
                </c:pt>
                <c:pt idx="3">
                  <c:v>0.26502591529736169</c:v>
                </c:pt>
                <c:pt idx="4">
                  <c:v>0.44049328506521235</c:v>
                </c:pt>
                <c:pt idx="5">
                  <c:v>0.61596065483306306</c:v>
                </c:pt>
                <c:pt idx="6">
                  <c:v>0.7621834629729386</c:v>
                </c:pt>
                <c:pt idx="7">
                  <c:v>0.86662832592999273</c:v>
                </c:pt>
                <c:pt idx="8">
                  <c:v>0.93190636527815141</c:v>
                </c:pt>
                <c:pt idx="9">
                  <c:v>0.96817194269379514</c:v>
                </c:pt>
                <c:pt idx="10">
                  <c:v>0.98630473140161712</c:v>
                </c:pt>
                <c:pt idx="11">
                  <c:v>0.99454690808699064</c:v>
                </c:pt>
                <c:pt idx="12">
                  <c:v>0.99798114837256291</c:v>
                </c:pt>
                <c:pt idx="13">
                  <c:v>0.99930201002086005</c:v>
                </c:pt>
                <c:pt idx="14">
                  <c:v>0.99977374632382321</c:v>
                </c:pt>
                <c:pt idx="15">
                  <c:v>0.99993099175814426</c:v>
                </c:pt>
                <c:pt idx="16">
                  <c:v>0.99998013095636962</c:v>
                </c:pt>
                <c:pt idx="17">
                  <c:v>0.99999458366173011</c:v>
                </c:pt>
                <c:pt idx="18">
                  <c:v>0.99999859830210791</c:v>
                </c:pt>
                <c:pt idx="19">
                  <c:v>0.99999965478641784</c:v>
                </c:pt>
                <c:pt idx="20">
                  <c:v>0.9999999189074954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A07-4A72-A72C-6BEDF74170D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axId val="1426719759"/>
        <c:axId val="1338484847"/>
      </c:barChart>
      <c:catAx>
        <c:axId val="14267197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38484847"/>
        <c:crosses val="autoZero"/>
        <c:auto val="1"/>
        <c:lblAlgn val="ctr"/>
        <c:lblOffset val="100"/>
        <c:noMultiLvlLbl val="0"/>
      </c:catAx>
      <c:valAx>
        <c:axId val="1338484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267197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sampling_dist!$K$4:$K$7</c:f>
              <c:numCache>
                <c:formatCode>General</c:formatCode>
                <c:ptCount val="4"/>
                <c:pt idx="0">
                  <c:v>18</c:v>
                </c:pt>
                <c:pt idx="1">
                  <c:v>20</c:v>
                </c:pt>
                <c:pt idx="2">
                  <c:v>22</c:v>
                </c:pt>
                <c:pt idx="3">
                  <c:v>24</c:v>
                </c:pt>
              </c:numCache>
            </c:numRef>
          </c:cat>
          <c:val>
            <c:numRef>
              <c:f>sampling_dist!$L$4:$L$7</c:f>
              <c:numCache>
                <c:formatCode>General</c:formatCode>
                <c:ptCount val="4"/>
                <c:pt idx="0">
                  <c:v>0.25</c:v>
                </c:pt>
                <c:pt idx="1">
                  <c:v>0.25</c:v>
                </c:pt>
                <c:pt idx="2">
                  <c:v>0.25</c:v>
                </c:pt>
                <c:pt idx="3">
                  <c:v>0.25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BFE-4868-8659-60D966F4DF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451007088"/>
        <c:axId val="449454320"/>
      </c:barChart>
      <c:catAx>
        <c:axId val="45100708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9454320"/>
        <c:crosses val="autoZero"/>
        <c:auto val="1"/>
        <c:lblAlgn val="ctr"/>
        <c:lblOffset val="100"/>
        <c:noMultiLvlLbl val="0"/>
      </c:catAx>
      <c:valAx>
        <c:axId val="4494543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5100708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x</cx:v>
        </cx:txData>
      </cx:tx>
      <cx:txPr>
        <a:bodyPr rot="0" spcFirstLastPara="1" vertOverflow="ellipsis" vert="horz" wrap="square" lIns="38100" tIns="19050" rIns="38100" bIns="19050" anchor="ctr" anchorCtr="1" compatLnSpc="0"/>
        <a:lstStyle/>
        <a:p>
          <a:pPr algn="ctr" rtl="0">
            <a:defRPr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r>
            <a:rPr kumimoji="0" lang="en-US" sz="1400" b="0" i="0" u="none" strike="noStrike" kern="0" cap="none" spc="0" normalizeH="0" baseline="0" noProof="0">
              <a:ln>
                <a:noFill/>
              </a:ln>
              <a:solidFill>
                <a:sysClr val="windowText" lastClr="000000">
                  <a:lumMod val="65000"/>
                  <a:lumOff val="35000"/>
                </a:sysClr>
              </a:solidFill>
              <a:effectLst/>
              <a:uLnTx/>
              <a:uFillTx/>
              <a:latin typeface="Calibri" panose="020F0502020204030204"/>
            </a:rPr>
            <a:t>x</a:t>
          </a:r>
        </a:p>
      </cx:txPr>
    </cx:title>
    <cx:plotArea>
      <cx:plotAreaRegion>
        <cx:series layoutId="clusteredColumn" uniqueId="{9EFD1C69-3D27-462D-96A5-F26449970096}">
          <cx:tx>
            <cx:txData>
              <cx:f>_xlchart.v1.0</cx:f>
              <cx:v>x</cx:v>
            </cx:txData>
          </cx:tx>
          <cx:dataId val="0"/>
          <cx:layoutPr>
            <cx:binning intervalClosed="r">
              <cx:binCount val="16"/>
            </cx:binning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8.png"/><Relationship Id="rId7" Type="http://schemas.openxmlformats.org/officeDocument/2006/relationships/image" Target="../media/image15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11" Type="http://schemas.openxmlformats.org/officeDocument/2006/relationships/image" Target="../media/image25.png"/><Relationship Id="rId5" Type="http://schemas.openxmlformats.org/officeDocument/2006/relationships/image" Target="../media/image20.png"/><Relationship Id="rId10" Type="http://schemas.openxmlformats.org/officeDocument/2006/relationships/image" Target="../media/image24.png"/><Relationship Id="rId4" Type="http://schemas.openxmlformats.org/officeDocument/2006/relationships/image" Target="../media/image19.png"/><Relationship Id="rId9" Type="http://schemas.openxmlformats.org/officeDocument/2006/relationships/image" Target="../media/image2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4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5" Type="http://schemas.openxmlformats.org/officeDocument/2006/relationships/image" Target="../media/image27.png"/><Relationship Id="rId4" Type="http://schemas.openxmlformats.org/officeDocument/2006/relationships/image" Target="../media/image26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Relationship Id="rId9" Type="http://schemas.openxmlformats.org/officeDocument/2006/relationships/image" Target="../media/image37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3.png"/><Relationship Id="rId1" Type="http://schemas.openxmlformats.org/officeDocument/2006/relationships/image" Target="../media/image31.png"/><Relationship Id="rId5" Type="http://schemas.openxmlformats.org/officeDocument/2006/relationships/image" Target="../media/image38.png"/><Relationship Id="rId4" Type="http://schemas.openxmlformats.org/officeDocument/2006/relationships/image" Target="../media/image32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chart" Target="../charts/chart11.xml"/><Relationship Id="rId1" Type="http://schemas.openxmlformats.org/officeDocument/2006/relationships/chart" Target="../charts/chart10.xml"/></Relationships>
</file>

<file path=xl/drawings/_rels/drawing1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7" Type="http://schemas.openxmlformats.org/officeDocument/2006/relationships/chart" Target="../charts/chart15.xml"/><Relationship Id="rId2" Type="http://schemas.openxmlformats.org/officeDocument/2006/relationships/chart" Target="../charts/chart13.xml"/><Relationship Id="rId1" Type="http://schemas.openxmlformats.org/officeDocument/2006/relationships/chart" Target="../charts/chart12.xml"/><Relationship Id="rId6" Type="http://schemas.openxmlformats.org/officeDocument/2006/relationships/chart" Target="../charts/chart14.xml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8.png"/><Relationship Id="rId13" Type="http://schemas.openxmlformats.org/officeDocument/2006/relationships/image" Target="../media/image50.png"/><Relationship Id="rId18" Type="http://schemas.openxmlformats.org/officeDocument/2006/relationships/image" Target="../media/image55.png"/><Relationship Id="rId3" Type="http://schemas.openxmlformats.org/officeDocument/2006/relationships/image" Target="../media/image44.png"/><Relationship Id="rId7" Type="http://schemas.openxmlformats.org/officeDocument/2006/relationships/image" Target="../media/image47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" Type="http://schemas.openxmlformats.org/officeDocument/2006/relationships/image" Target="../media/image43.png"/><Relationship Id="rId16" Type="http://schemas.openxmlformats.org/officeDocument/2006/relationships/image" Target="../media/image53.png"/><Relationship Id="rId1" Type="http://schemas.openxmlformats.org/officeDocument/2006/relationships/image" Target="../media/image10.png"/><Relationship Id="rId6" Type="http://schemas.openxmlformats.org/officeDocument/2006/relationships/image" Target="../media/image46.png"/><Relationship Id="rId11" Type="http://schemas.openxmlformats.org/officeDocument/2006/relationships/image" Target="../media/image14.png"/><Relationship Id="rId5" Type="http://schemas.openxmlformats.org/officeDocument/2006/relationships/image" Target="../media/image45.png"/><Relationship Id="rId15" Type="http://schemas.openxmlformats.org/officeDocument/2006/relationships/image" Target="../media/image52.png"/><Relationship Id="rId10" Type="http://schemas.openxmlformats.org/officeDocument/2006/relationships/image" Target="../media/image6.png"/><Relationship Id="rId19" Type="http://schemas.openxmlformats.org/officeDocument/2006/relationships/image" Target="../media/image56.png"/><Relationship Id="rId4" Type="http://schemas.openxmlformats.org/officeDocument/2006/relationships/image" Target="../media/image13.png"/><Relationship Id="rId9" Type="http://schemas.openxmlformats.org/officeDocument/2006/relationships/image" Target="../media/image5.png"/><Relationship Id="rId14" Type="http://schemas.openxmlformats.org/officeDocument/2006/relationships/image" Target="../media/image51.png"/></Relationships>
</file>

<file path=xl/drawings/_rels/drawing21.xml.rels><?xml version="1.0" encoding="UTF-8" standalone="yes"?>
<Relationships xmlns="http://schemas.openxmlformats.org/package/2006/relationships"><Relationship Id="rId8" Type="http://schemas.openxmlformats.org/officeDocument/2006/relationships/image" Target="../media/image63.png"/><Relationship Id="rId13" Type="http://schemas.openxmlformats.org/officeDocument/2006/relationships/image" Target="../media/image51.png"/><Relationship Id="rId3" Type="http://schemas.openxmlformats.org/officeDocument/2006/relationships/image" Target="../media/image59.png"/><Relationship Id="rId7" Type="http://schemas.openxmlformats.org/officeDocument/2006/relationships/image" Target="../media/image62.png"/><Relationship Id="rId12" Type="http://schemas.openxmlformats.org/officeDocument/2006/relationships/image" Target="../media/image67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6" Type="http://schemas.openxmlformats.org/officeDocument/2006/relationships/image" Target="../media/image55.png"/><Relationship Id="rId11" Type="http://schemas.openxmlformats.org/officeDocument/2006/relationships/image" Target="../media/image66.png"/><Relationship Id="rId5" Type="http://schemas.openxmlformats.org/officeDocument/2006/relationships/image" Target="../media/image61.png"/><Relationship Id="rId10" Type="http://schemas.openxmlformats.org/officeDocument/2006/relationships/image" Target="../media/image65.png"/><Relationship Id="rId4" Type="http://schemas.openxmlformats.org/officeDocument/2006/relationships/image" Target="../media/image60.png"/><Relationship Id="rId9" Type="http://schemas.openxmlformats.org/officeDocument/2006/relationships/image" Target="../media/image64.png"/><Relationship Id="rId14" Type="http://schemas.openxmlformats.org/officeDocument/2006/relationships/image" Target="../media/image68.png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7" Type="http://schemas.openxmlformats.org/officeDocument/2006/relationships/image" Target="../media/image14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1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.xml"/><Relationship Id="rId2" Type="http://schemas.openxmlformats.org/officeDocument/2006/relationships/chart" Target="../charts/chart5.xml"/><Relationship Id="rId1" Type="http://schemas.openxmlformats.org/officeDocument/2006/relationships/chart" Target="../charts/chart4.xml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chart" Target="../charts/chart8.xml"/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400050</xdr:colOff>
      <xdr:row>1</xdr:row>
      <xdr:rowOff>142875</xdr:rowOff>
    </xdr:from>
    <xdr:to>
      <xdr:col>6</xdr:col>
      <xdr:colOff>339559</xdr:colOff>
      <xdr:row>5</xdr:row>
      <xdr:rowOff>152400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95FB40-F242-45AD-9716-A3410985D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" y="333375"/>
          <a:ext cx="3597109" cy="771525"/>
        </a:xfrm>
        <a:prstGeom prst="rect">
          <a:avLst/>
        </a:prstGeom>
      </xdr:spPr>
    </xdr:pic>
    <xdr:clientData/>
  </xdr:twoCellAnchor>
  <xdr:twoCellAnchor editAs="oneCell">
    <xdr:from>
      <xdr:col>0</xdr:col>
      <xdr:colOff>409235</xdr:colOff>
      <xdr:row>6</xdr:row>
      <xdr:rowOff>161924</xdr:rowOff>
    </xdr:from>
    <xdr:to>
      <xdr:col>8</xdr:col>
      <xdr:colOff>218024</xdr:colOff>
      <xdr:row>16</xdr:row>
      <xdr:rowOff>47223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2577312-B441-46BC-A8AF-70118B0777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9235" y="1304924"/>
          <a:ext cx="4685589" cy="1790299"/>
        </a:xfrm>
        <a:prstGeom prst="rect">
          <a:avLst/>
        </a:prstGeom>
      </xdr:spPr>
    </xdr:pic>
    <xdr:clientData/>
  </xdr:twoCellAnchor>
  <xdr:twoCellAnchor editAs="oneCell">
    <xdr:from>
      <xdr:col>0</xdr:col>
      <xdr:colOff>390525</xdr:colOff>
      <xdr:row>17</xdr:row>
      <xdr:rowOff>65287</xdr:rowOff>
    </xdr:from>
    <xdr:to>
      <xdr:col>8</xdr:col>
      <xdr:colOff>133350</xdr:colOff>
      <xdr:row>20</xdr:row>
      <xdr:rowOff>76093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BCCA5C2-9DA8-4D25-83C8-839676264F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525" y="3303787"/>
          <a:ext cx="4619625" cy="582306"/>
        </a:xfrm>
        <a:prstGeom prst="rect">
          <a:avLst/>
        </a:prstGeom>
      </xdr:spPr>
    </xdr:pic>
    <xdr:clientData/>
  </xdr:twoCellAnchor>
  <xdr:twoCellAnchor editAs="oneCell">
    <xdr:from>
      <xdr:col>9</xdr:col>
      <xdr:colOff>209550</xdr:colOff>
      <xdr:row>1</xdr:row>
      <xdr:rowOff>34547</xdr:rowOff>
    </xdr:from>
    <xdr:to>
      <xdr:col>15</xdr:col>
      <xdr:colOff>446896</xdr:colOff>
      <xdr:row>11</xdr:row>
      <xdr:rowOff>47242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E3A3030-D104-4FA0-AF4F-9EA4F65A96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95950" y="225047"/>
          <a:ext cx="3894946" cy="1917695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</xdr:colOff>
      <xdr:row>12</xdr:row>
      <xdr:rowOff>25022</xdr:rowOff>
    </xdr:from>
    <xdr:to>
      <xdr:col>15</xdr:col>
      <xdr:colOff>144544</xdr:colOff>
      <xdr:row>17</xdr:row>
      <xdr:rowOff>34548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C21786-7463-4463-8EBC-E3F244E55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4500" y="2311022"/>
          <a:ext cx="3764044" cy="962026"/>
        </a:xfrm>
        <a:prstGeom prst="rect">
          <a:avLst/>
        </a:prstGeom>
      </xdr:spPr>
    </xdr:pic>
    <xdr:clientData/>
  </xdr:twoCellAnchor>
  <xdr:twoCellAnchor editAs="oneCell">
    <xdr:from>
      <xdr:col>9</xdr:col>
      <xdr:colOff>58851</xdr:colOff>
      <xdr:row>17</xdr:row>
      <xdr:rowOff>186946</xdr:rowOff>
    </xdr:from>
    <xdr:to>
      <xdr:col>14</xdr:col>
      <xdr:colOff>604024</xdr:colOff>
      <xdr:row>23</xdr:row>
      <xdr:rowOff>53597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633E4A90-6FAD-474B-B94C-FD215C72E0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5251" y="3425446"/>
          <a:ext cx="3593173" cy="1009651"/>
        </a:xfrm>
        <a:prstGeom prst="rect">
          <a:avLst/>
        </a:prstGeom>
      </xdr:spPr>
    </xdr:pic>
    <xdr:clientData/>
  </xdr:twoCellAnchor>
  <xdr:twoCellAnchor editAs="oneCell">
    <xdr:from>
      <xdr:col>1</xdr:col>
      <xdr:colOff>95251</xdr:colOff>
      <xdr:row>22</xdr:row>
      <xdr:rowOff>16221</xdr:rowOff>
    </xdr:from>
    <xdr:to>
      <xdr:col>7</xdr:col>
      <xdr:colOff>247651</xdr:colOff>
      <xdr:row>34</xdr:row>
      <xdr:rowOff>151937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187242A-84D6-4D3E-8632-DE04A8537F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4851" y="4207221"/>
          <a:ext cx="3810000" cy="2421716"/>
        </a:xfrm>
        <a:prstGeom prst="rect">
          <a:avLst/>
        </a:prstGeom>
      </xdr:spPr>
    </xdr:pic>
    <xdr:clientData/>
  </xdr:twoCellAnchor>
  <xdr:twoCellAnchor editAs="oneCell">
    <xdr:from>
      <xdr:col>9</xdr:col>
      <xdr:colOff>22289</xdr:colOff>
      <xdr:row>25</xdr:row>
      <xdr:rowOff>105304</xdr:rowOff>
    </xdr:from>
    <xdr:to>
      <xdr:col>16</xdr:col>
      <xdr:colOff>114301</xdr:colOff>
      <xdr:row>36</xdr:row>
      <xdr:rowOff>151923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CA911DFE-DBA8-4D07-93AE-AE966C7C24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08689" y="4867804"/>
          <a:ext cx="4359212" cy="2142119"/>
        </a:xfrm>
        <a:prstGeom prst="rect">
          <a:avLst/>
        </a:prstGeom>
      </xdr:spPr>
    </xdr:pic>
    <xdr:clientData/>
  </xdr:twoCellAnchor>
  <xdr:twoCellAnchor editAs="oneCell">
    <xdr:from>
      <xdr:col>17</xdr:col>
      <xdr:colOff>47626</xdr:colOff>
      <xdr:row>25</xdr:row>
      <xdr:rowOff>81578</xdr:rowOff>
    </xdr:from>
    <xdr:to>
      <xdr:col>25</xdr:col>
      <xdr:colOff>161926</xdr:colOff>
      <xdr:row>41</xdr:row>
      <xdr:rowOff>37481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508ECD1-2796-459F-BE6C-529D2B63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10826" y="4844078"/>
          <a:ext cx="4991100" cy="300390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</xdr:row>
      <xdr:rowOff>152400</xdr:rowOff>
    </xdr:from>
    <xdr:to>
      <xdr:col>8</xdr:col>
      <xdr:colOff>199923</xdr:colOff>
      <xdr:row>6</xdr:row>
      <xdr:rowOff>133350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A0AF93-E9A5-4264-9B16-69E4C60AF0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" y="342900"/>
          <a:ext cx="4314723" cy="933450"/>
        </a:xfrm>
        <a:prstGeom prst="rect">
          <a:avLst/>
        </a:prstGeom>
      </xdr:spPr>
    </xdr:pic>
    <xdr:clientData/>
  </xdr:twoCellAnchor>
  <xdr:twoCellAnchor editAs="oneCell">
    <xdr:from>
      <xdr:col>1</xdr:col>
      <xdr:colOff>130950</xdr:colOff>
      <xdr:row>8</xdr:row>
      <xdr:rowOff>7125</xdr:rowOff>
    </xdr:from>
    <xdr:to>
      <xdr:col>6</xdr:col>
      <xdr:colOff>464033</xdr:colOff>
      <xdr:row>16</xdr:row>
      <xdr:rowOff>76200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7144348-77EE-4C6B-AD6A-51B8C65863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0550" y="1531125"/>
          <a:ext cx="3381083" cy="1593075"/>
        </a:xfrm>
        <a:prstGeom prst="rect">
          <a:avLst/>
        </a:prstGeom>
      </xdr:spPr>
    </xdr:pic>
    <xdr:clientData/>
  </xdr:twoCellAnchor>
  <xdr:twoCellAnchor editAs="oneCell">
    <xdr:from>
      <xdr:col>9</xdr:col>
      <xdr:colOff>128551</xdr:colOff>
      <xdr:row>2</xdr:row>
      <xdr:rowOff>138075</xdr:rowOff>
    </xdr:from>
    <xdr:to>
      <xdr:col>15</xdr:col>
      <xdr:colOff>57151</xdr:colOff>
      <xdr:row>7</xdr:row>
      <xdr:rowOff>174513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F22AF20-1B1E-4AF6-8740-6CBF9FFC93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4951" y="519075"/>
          <a:ext cx="3586200" cy="988938"/>
        </a:xfrm>
        <a:prstGeom prst="rect">
          <a:avLst/>
        </a:prstGeom>
      </xdr:spPr>
    </xdr:pic>
    <xdr:clientData/>
  </xdr:twoCellAnchor>
  <xdr:twoCellAnchor editAs="oneCell">
    <xdr:from>
      <xdr:col>9</xdr:col>
      <xdr:colOff>69000</xdr:colOff>
      <xdr:row>8</xdr:row>
      <xdr:rowOff>90329</xdr:rowOff>
    </xdr:from>
    <xdr:to>
      <xdr:col>16</xdr:col>
      <xdr:colOff>314325</xdr:colOff>
      <xdr:row>13</xdr:row>
      <xdr:rowOff>21177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57336D64-124B-4B61-90C7-89DAEEF979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55400" y="1614329"/>
          <a:ext cx="4512525" cy="883348"/>
        </a:xfrm>
        <a:prstGeom prst="rect">
          <a:avLst/>
        </a:prstGeom>
      </xdr:spPr>
    </xdr:pic>
    <xdr:clientData/>
  </xdr:twoCellAnchor>
  <xdr:twoCellAnchor editAs="oneCell">
    <xdr:from>
      <xdr:col>9</xdr:col>
      <xdr:colOff>76200</xdr:colOff>
      <xdr:row>14</xdr:row>
      <xdr:rowOff>32544</xdr:rowOff>
    </xdr:from>
    <xdr:to>
      <xdr:col>14</xdr:col>
      <xdr:colOff>314325</xdr:colOff>
      <xdr:row>22</xdr:row>
      <xdr:rowOff>94949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1F6E270-D0D7-4A75-9199-30D4C15BF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2600" y="2699544"/>
          <a:ext cx="3286125" cy="1586405"/>
        </a:xfrm>
        <a:prstGeom prst="rect">
          <a:avLst/>
        </a:prstGeom>
      </xdr:spPr>
    </xdr:pic>
    <xdr:clientData/>
  </xdr:twoCellAnchor>
  <xdr:twoCellAnchor editAs="oneCell">
    <xdr:from>
      <xdr:col>14</xdr:col>
      <xdr:colOff>416700</xdr:colOff>
      <xdr:row>16</xdr:row>
      <xdr:rowOff>91426</xdr:rowOff>
    </xdr:from>
    <xdr:to>
      <xdr:col>17</xdr:col>
      <xdr:colOff>600075</xdr:colOff>
      <xdr:row>19</xdr:row>
      <xdr:rowOff>188000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4D2789-2AB6-4A64-A398-DB1279CB4F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1100" y="3139426"/>
          <a:ext cx="2012175" cy="668074"/>
        </a:xfrm>
        <a:prstGeom prst="rect">
          <a:avLst/>
        </a:prstGeom>
      </xdr:spPr>
    </xdr:pic>
    <xdr:clientData/>
  </xdr:twoCellAnchor>
  <xdr:twoCellAnchor editAs="oneCell">
    <xdr:from>
      <xdr:col>0</xdr:col>
      <xdr:colOff>590550</xdr:colOff>
      <xdr:row>23</xdr:row>
      <xdr:rowOff>152400</xdr:rowOff>
    </xdr:from>
    <xdr:to>
      <xdr:col>6</xdr:col>
      <xdr:colOff>333375</xdr:colOff>
      <xdr:row>35</xdr:row>
      <xdr:rowOff>62301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A2052F8-640E-4A18-B7EB-BCD2E0373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0550" y="4533900"/>
          <a:ext cx="3400425" cy="2195901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285751</xdr:colOff>
      <xdr:row>36</xdr:row>
      <xdr:rowOff>152400</xdr:rowOff>
    </xdr:from>
    <xdr:to>
      <xdr:col>6</xdr:col>
      <xdr:colOff>247497</xdr:colOff>
      <xdr:row>50</xdr:row>
      <xdr:rowOff>103986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991DE2-48FD-4880-AEF8-1EB5F4A98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1" y="7010400"/>
          <a:ext cx="3619346" cy="2618586"/>
        </a:xfrm>
        <a:prstGeom prst="rect">
          <a:avLst/>
        </a:prstGeom>
      </xdr:spPr>
    </xdr:pic>
    <xdr:clientData/>
  </xdr:twoCellAnchor>
  <xdr:twoCellAnchor editAs="oneCell">
    <xdr:from>
      <xdr:col>7</xdr:col>
      <xdr:colOff>92850</xdr:colOff>
      <xdr:row>40</xdr:row>
      <xdr:rowOff>85725</xdr:rowOff>
    </xdr:from>
    <xdr:to>
      <xdr:col>12</xdr:col>
      <xdr:colOff>405275</xdr:colOff>
      <xdr:row>53</xdr:row>
      <xdr:rowOff>34937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64DE1FE-D890-4643-91CD-12D48202A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60050" y="7705725"/>
          <a:ext cx="3360425" cy="2425712"/>
        </a:xfrm>
        <a:prstGeom prst="rect">
          <a:avLst/>
        </a:prstGeom>
      </xdr:spPr>
    </xdr:pic>
    <xdr:clientData/>
  </xdr:twoCellAnchor>
  <xdr:twoCellAnchor editAs="oneCell">
    <xdr:from>
      <xdr:col>13</xdr:col>
      <xdr:colOff>419100</xdr:colOff>
      <xdr:row>36</xdr:row>
      <xdr:rowOff>85725</xdr:rowOff>
    </xdr:from>
    <xdr:to>
      <xdr:col>20</xdr:col>
      <xdr:colOff>130248</xdr:colOff>
      <xdr:row>52</xdr:row>
      <xdr:rowOff>13475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BFF5F21-B5A8-4552-B1AE-E73622225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43900" y="6943725"/>
          <a:ext cx="3978348" cy="2975750"/>
        </a:xfrm>
        <a:prstGeom prst="rect">
          <a:avLst/>
        </a:prstGeom>
      </xdr:spPr>
    </xdr:pic>
    <xdr:clientData/>
  </xdr:twoCellAnchor>
  <xdr:twoCellAnchor editAs="oneCell">
    <xdr:from>
      <xdr:col>7</xdr:col>
      <xdr:colOff>581025</xdr:colOff>
      <xdr:row>25</xdr:row>
      <xdr:rowOff>47625</xdr:rowOff>
    </xdr:from>
    <xdr:to>
      <xdr:col>13</xdr:col>
      <xdr:colOff>55599</xdr:colOff>
      <xdr:row>35</xdr:row>
      <xdr:rowOff>28575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7ACA138-BD4E-4ABE-9244-EEFBDD035D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8225" y="4810125"/>
          <a:ext cx="3132174" cy="188595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21</xdr:row>
      <xdr:rowOff>19050</xdr:rowOff>
    </xdr:from>
    <xdr:to>
      <xdr:col>6</xdr:col>
      <xdr:colOff>133196</xdr:colOff>
      <xdr:row>34</xdr:row>
      <xdr:rowOff>161136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E3586E7-E7FF-42C8-BCF9-A7A73B3638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4019550"/>
          <a:ext cx="3619346" cy="2618586"/>
        </a:xfrm>
        <a:prstGeom prst="rect">
          <a:avLst/>
        </a:prstGeom>
      </xdr:spPr>
    </xdr:pic>
    <xdr:clientData/>
  </xdr:twoCellAnchor>
  <xdr:twoCellAnchor editAs="oneCell">
    <xdr:from>
      <xdr:col>7</xdr:col>
      <xdr:colOff>435749</xdr:colOff>
      <xdr:row>21</xdr:row>
      <xdr:rowOff>152400</xdr:rowOff>
    </xdr:from>
    <xdr:to>
      <xdr:col>13</xdr:col>
      <xdr:colOff>138574</xdr:colOff>
      <xdr:row>34</xdr:row>
      <xdr:rowOff>101612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2EF86D1-CD02-4BCC-B125-E6AEE101D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02949" y="4152900"/>
          <a:ext cx="3360425" cy="2425712"/>
        </a:xfrm>
        <a:prstGeom prst="rect">
          <a:avLst/>
        </a:prstGeom>
      </xdr:spPr>
    </xdr:pic>
    <xdr:clientData/>
  </xdr:twoCellAnchor>
  <xdr:twoCellAnchor editAs="oneCell">
    <xdr:from>
      <xdr:col>13</xdr:col>
      <xdr:colOff>542924</xdr:colOff>
      <xdr:row>22</xdr:row>
      <xdr:rowOff>66675</xdr:rowOff>
    </xdr:from>
    <xdr:to>
      <xdr:col>20</xdr:col>
      <xdr:colOff>254072</xdr:colOff>
      <xdr:row>37</xdr:row>
      <xdr:rowOff>184925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8B0391E-928E-432A-8251-0C6D129EA6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67724" y="4257675"/>
          <a:ext cx="3978348" cy="2975750"/>
        </a:xfrm>
        <a:prstGeom prst="rect">
          <a:avLst/>
        </a:prstGeom>
      </xdr:spPr>
    </xdr:pic>
    <xdr:clientData/>
  </xdr:twoCellAnchor>
  <xdr:twoCellAnchor editAs="oneCell">
    <xdr:from>
      <xdr:col>0</xdr:col>
      <xdr:colOff>466725</xdr:colOff>
      <xdr:row>2</xdr:row>
      <xdr:rowOff>112217</xdr:rowOff>
    </xdr:from>
    <xdr:to>
      <xdr:col>8</xdr:col>
      <xdr:colOff>66066</xdr:colOff>
      <xdr:row>20</xdr:row>
      <xdr:rowOff>9524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E09A85-C32C-4793-B52C-6364D15446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6725" y="493217"/>
          <a:ext cx="4476141" cy="3326307"/>
        </a:xfrm>
        <a:prstGeom prst="rect">
          <a:avLst/>
        </a:prstGeom>
      </xdr:spPr>
    </xdr:pic>
    <xdr:clientData/>
  </xdr:twoCellAnchor>
  <xdr:twoCellAnchor editAs="oneCell">
    <xdr:from>
      <xdr:col>8</xdr:col>
      <xdr:colOff>381000</xdr:colOff>
      <xdr:row>2</xdr:row>
      <xdr:rowOff>28574</xdr:rowOff>
    </xdr:from>
    <xdr:to>
      <xdr:col>16</xdr:col>
      <xdr:colOff>57150</xdr:colOff>
      <xdr:row>20</xdr:row>
      <xdr:rowOff>115553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93C9745-1EA2-4B36-BA72-32B0E3E8C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57800" y="409574"/>
          <a:ext cx="4552950" cy="351597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161926</xdr:colOff>
      <xdr:row>18</xdr:row>
      <xdr:rowOff>68779</xdr:rowOff>
    </xdr:from>
    <xdr:to>
      <xdr:col>10</xdr:col>
      <xdr:colOff>321969</xdr:colOff>
      <xdr:row>29</xdr:row>
      <xdr:rowOff>180974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9596D80-5AF8-47C2-B290-73CEAC3B70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0326" y="3507304"/>
          <a:ext cx="4541543" cy="220769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295275</xdr:colOff>
      <xdr:row>1</xdr:row>
      <xdr:rowOff>133350</xdr:rowOff>
    </xdr:from>
    <xdr:to>
      <xdr:col>4</xdr:col>
      <xdr:colOff>352113</xdr:colOff>
      <xdr:row>4</xdr:row>
      <xdr:rowOff>123755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C631A45-F25A-40EA-BBDF-CE2C4CB5F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323850"/>
          <a:ext cx="2495238" cy="5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533400</xdr:colOff>
      <xdr:row>1</xdr:row>
      <xdr:rowOff>152400</xdr:rowOff>
    </xdr:from>
    <xdr:to>
      <xdr:col>8</xdr:col>
      <xdr:colOff>276225</xdr:colOff>
      <xdr:row>7</xdr:row>
      <xdr:rowOff>120024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4B1B30A-A6AB-435F-92E5-D1BC2D39C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71800" y="342900"/>
          <a:ext cx="2181225" cy="1110624"/>
        </a:xfrm>
        <a:prstGeom prst="rect">
          <a:avLst/>
        </a:prstGeom>
      </xdr:spPr>
    </xdr:pic>
    <xdr:clientData/>
  </xdr:twoCellAnchor>
  <xdr:twoCellAnchor editAs="oneCell">
    <xdr:from>
      <xdr:col>8</xdr:col>
      <xdr:colOff>514350</xdr:colOff>
      <xdr:row>1</xdr:row>
      <xdr:rowOff>113576</xdr:rowOff>
    </xdr:from>
    <xdr:to>
      <xdr:col>12</xdr:col>
      <xdr:colOff>428625</xdr:colOff>
      <xdr:row>8</xdr:row>
      <xdr:rowOff>28317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C53D042-11C4-4AB0-99ED-C05F87EF72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1150" y="304076"/>
          <a:ext cx="2352675" cy="1248241"/>
        </a:xfrm>
        <a:prstGeom prst="rect">
          <a:avLst/>
        </a:prstGeom>
      </xdr:spPr>
    </xdr:pic>
    <xdr:clientData/>
  </xdr:twoCellAnchor>
  <xdr:twoCellAnchor editAs="oneCell">
    <xdr:from>
      <xdr:col>8</xdr:col>
      <xdr:colOff>533400</xdr:colOff>
      <xdr:row>8</xdr:row>
      <xdr:rowOff>57150</xdr:rowOff>
    </xdr:from>
    <xdr:to>
      <xdr:col>12</xdr:col>
      <xdr:colOff>602197</xdr:colOff>
      <xdr:row>13</xdr:row>
      <xdr:rowOff>171450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B1CAF71-005C-4A70-AB99-0946D6C2F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10200" y="1581150"/>
          <a:ext cx="2507197" cy="1066800"/>
        </a:xfrm>
        <a:prstGeom prst="rect">
          <a:avLst/>
        </a:prstGeom>
      </xdr:spPr>
    </xdr:pic>
    <xdr:clientData/>
  </xdr:twoCellAnchor>
  <xdr:twoCellAnchor editAs="oneCell">
    <xdr:from>
      <xdr:col>13</xdr:col>
      <xdr:colOff>9526</xdr:colOff>
      <xdr:row>1</xdr:row>
      <xdr:rowOff>179516</xdr:rowOff>
    </xdr:from>
    <xdr:to>
      <xdr:col>17</xdr:col>
      <xdr:colOff>85726</xdr:colOff>
      <xdr:row>7</xdr:row>
      <xdr:rowOff>151863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E1C43E4-40EF-4887-932D-DA93BFE02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4326" y="370016"/>
          <a:ext cx="2514600" cy="1115347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47624</xdr:colOff>
      <xdr:row>8</xdr:row>
      <xdr:rowOff>65441</xdr:rowOff>
    </xdr:from>
    <xdr:to>
      <xdr:col>17</xdr:col>
      <xdr:colOff>0</xdr:colOff>
      <xdr:row>13</xdr:row>
      <xdr:rowOff>171451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CCB4C27-99AE-475A-82A5-10E9CAC3B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2424" y="1589441"/>
          <a:ext cx="2390776" cy="1058510"/>
        </a:xfrm>
        <a:prstGeom prst="rect">
          <a:avLst/>
        </a:prstGeom>
      </xdr:spPr>
    </xdr:pic>
    <xdr:clientData/>
  </xdr:twoCellAnchor>
  <xdr:twoCellAnchor editAs="oneCell">
    <xdr:from>
      <xdr:col>5</xdr:col>
      <xdr:colOff>9526</xdr:colOff>
      <xdr:row>8</xdr:row>
      <xdr:rowOff>85724</xdr:rowOff>
    </xdr:from>
    <xdr:to>
      <xdr:col>8</xdr:col>
      <xdr:colOff>66675</xdr:colOff>
      <xdr:row>12</xdr:row>
      <xdr:rowOff>190339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3AE358CA-E682-4F3E-9181-C3E5125D23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57526" y="1609724"/>
          <a:ext cx="1885949" cy="866615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304801</xdr:colOff>
      <xdr:row>5</xdr:row>
      <xdr:rowOff>40669</xdr:rowOff>
    </xdr:from>
    <xdr:to>
      <xdr:col>4</xdr:col>
      <xdr:colOff>342900</xdr:colOff>
      <xdr:row>12</xdr:row>
      <xdr:rowOff>120808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80AC485-35CB-4F16-BBF5-5E3F824BEF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1" y="993169"/>
          <a:ext cx="2476499" cy="1413639"/>
        </a:xfrm>
        <a:prstGeom prst="rect">
          <a:avLst/>
        </a:prstGeom>
      </xdr:spPr>
    </xdr:pic>
    <xdr:clientData/>
  </xdr:twoCellAnchor>
  <xdr:twoCellAnchor editAs="oneCell">
    <xdr:from>
      <xdr:col>0</xdr:col>
      <xdr:colOff>361951</xdr:colOff>
      <xdr:row>13</xdr:row>
      <xdr:rowOff>109462</xdr:rowOff>
    </xdr:from>
    <xdr:to>
      <xdr:col>3</xdr:col>
      <xdr:colOff>228601</xdr:colOff>
      <xdr:row>17</xdr:row>
      <xdr:rowOff>134822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2DA24C2-5FB6-4C8D-B277-1CA53DB77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1951" y="2585962"/>
          <a:ext cx="1695450" cy="78736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142875</xdr:colOff>
      <xdr:row>0</xdr:row>
      <xdr:rowOff>95250</xdr:rowOff>
    </xdr:from>
    <xdr:to>
      <xdr:col>5</xdr:col>
      <xdr:colOff>57150</xdr:colOff>
      <xdr:row>7</xdr:row>
      <xdr:rowOff>9991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737DA7D-3CF6-4AEB-A31A-339017EF5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95250"/>
          <a:ext cx="2352675" cy="1248241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7</xdr:row>
      <xdr:rowOff>132615</xdr:rowOff>
    </xdr:from>
    <xdr:to>
      <xdr:col>5</xdr:col>
      <xdr:colOff>104775</xdr:colOff>
      <xdr:row>13</xdr:row>
      <xdr:rowOff>104962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BACA6BE-EE3F-4330-961D-9DCC93659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1466115"/>
          <a:ext cx="2514600" cy="1115347"/>
        </a:xfrm>
        <a:prstGeom prst="rect">
          <a:avLst/>
        </a:prstGeom>
      </xdr:spPr>
    </xdr:pic>
    <xdr:clientData/>
  </xdr:twoCellAnchor>
  <xdr:twoCellAnchor editAs="oneCell">
    <xdr:from>
      <xdr:col>1</xdr:col>
      <xdr:colOff>209550</xdr:colOff>
      <xdr:row>18</xdr:row>
      <xdr:rowOff>66675</xdr:rowOff>
    </xdr:from>
    <xdr:to>
      <xdr:col>4</xdr:col>
      <xdr:colOff>76200</xdr:colOff>
      <xdr:row>22</xdr:row>
      <xdr:rowOff>82510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4138A9-428C-455B-AC31-3D6636393A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" y="3495675"/>
          <a:ext cx="1695450" cy="787360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14</xdr:row>
      <xdr:rowOff>23278</xdr:rowOff>
    </xdr:from>
    <xdr:to>
      <xdr:col>3</xdr:col>
      <xdr:colOff>30208</xdr:colOff>
      <xdr:row>17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A6CCCB-E2D1-4166-9625-2582ED61C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2690278"/>
          <a:ext cx="1601833" cy="681572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123824</xdr:colOff>
      <xdr:row>14</xdr:row>
      <xdr:rowOff>0</xdr:rowOff>
    </xdr:from>
    <xdr:to>
      <xdr:col>5</xdr:col>
      <xdr:colOff>432077</xdr:colOff>
      <xdr:row>17</xdr:row>
      <xdr:rowOff>104776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F10ED61-5C73-4C8C-A5F2-782AA45368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2624" y="2667000"/>
          <a:ext cx="1527453" cy="67627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571500</xdr:colOff>
      <xdr:row>1</xdr:row>
      <xdr:rowOff>163907</xdr:rowOff>
    </xdr:from>
    <xdr:to>
      <xdr:col>6</xdr:col>
      <xdr:colOff>228578</xdr:colOff>
      <xdr:row>9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9D45ACD-E582-4DCA-93E8-8618130B4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81100" y="354407"/>
          <a:ext cx="2705078" cy="1445818"/>
        </a:xfrm>
        <a:prstGeom prst="rect">
          <a:avLst/>
        </a:prstGeom>
      </xdr:spPr>
    </xdr:pic>
    <xdr:clientData/>
  </xdr:twoCellAnchor>
  <xdr:twoCellAnchor editAs="oneCell">
    <xdr:from>
      <xdr:col>1</xdr:col>
      <xdr:colOff>561975</xdr:colOff>
      <xdr:row>9</xdr:row>
      <xdr:rowOff>171450</xdr:rowOff>
    </xdr:from>
    <xdr:to>
      <xdr:col>6</xdr:col>
      <xdr:colOff>409821</xdr:colOff>
      <xdr:row>16</xdr:row>
      <xdr:rowOff>38100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7F17E52-D984-434D-BCE9-9F53B81412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1575" y="1885950"/>
          <a:ext cx="2895846" cy="1200150"/>
        </a:xfrm>
        <a:prstGeom prst="rect">
          <a:avLst/>
        </a:prstGeom>
      </xdr:spPr>
    </xdr:pic>
    <xdr:clientData/>
  </xdr:twoCellAnchor>
  <xdr:twoCellAnchor editAs="oneCell">
    <xdr:from>
      <xdr:col>0</xdr:col>
      <xdr:colOff>397651</xdr:colOff>
      <xdr:row>16</xdr:row>
      <xdr:rowOff>159525</xdr:rowOff>
    </xdr:from>
    <xdr:to>
      <xdr:col>7</xdr:col>
      <xdr:colOff>266700</xdr:colOff>
      <xdr:row>19</xdr:row>
      <xdr:rowOff>9046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64BCACF-267E-4C7C-B841-19153EDE67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651" y="3207525"/>
          <a:ext cx="4136249" cy="421021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590550</xdr:colOff>
      <xdr:row>0</xdr:row>
      <xdr:rowOff>85725</xdr:rowOff>
    </xdr:from>
    <xdr:to>
      <xdr:col>6</xdr:col>
      <xdr:colOff>247628</xdr:colOff>
      <xdr:row>8</xdr:row>
      <xdr:rowOff>7543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04E62A-875D-422D-B512-308EF11EE0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0150" y="85725"/>
          <a:ext cx="2705078" cy="1445818"/>
        </a:xfrm>
        <a:prstGeom prst="rect">
          <a:avLst/>
        </a:prstGeom>
      </xdr:spPr>
    </xdr:pic>
    <xdr:clientData/>
  </xdr:twoCellAnchor>
  <xdr:twoCellAnchor editAs="oneCell">
    <xdr:from>
      <xdr:col>1</xdr:col>
      <xdr:colOff>466725</xdr:colOff>
      <xdr:row>9</xdr:row>
      <xdr:rowOff>47625</xdr:rowOff>
    </xdr:from>
    <xdr:to>
      <xdr:col>6</xdr:col>
      <xdr:colOff>314571</xdr:colOff>
      <xdr:row>15</xdr:row>
      <xdr:rowOff>104775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1C84FD0-8107-4635-B767-1FEFA5A09E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5" y="1762125"/>
          <a:ext cx="2895846" cy="1200150"/>
        </a:xfrm>
        <a:prstGeom prst="rect">
          <a:avLst/>
        </a:prstGeom>
      </xdr:spPr>
    </xdr:pic>
    <xdr:clientData/>
  </xdr:twoCellAnchor>
  <xdr:twoCellAnchor editAs="oneCell">
    <xdr:from>
      <xdr:col>0</xdr:col>
      <xdr:colOff>180975</xdr:colOff>
      <xdr:row>16</xdr:row>
      <xdr:rowOff>161925</xdr:rowOff>
    </xdr:from>
    <xdr:to>
      <xdr:col>7</xdr:col>
      <xdr:colOff>50024</xdr:colOff>
      <xdr:row>19</xdr:row>
      <xdr:rowOff>11446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FBB6D4A-3416-4F4C-909F-70A7EBC98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975" y="3209925"/>
          <a:ext cx="4136249" cy="421021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1</xdr:row>
      <xdr:rowOff>47625</xdr:rowOff>
    </xdr:from>
    <xdr:to>
      <xdr:col>5</xdr:col>
      <xdr:colOff>38078</xdr:colOff>
      <xdr:row>8</xdr:row>
      <xdr:rowOff>159943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F9F0C79-BE2D-4260-8E9A-7DEC04DC2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238125"/>
          <a:ext cx="2705078" cy="1445818"/>
        </a:xfrm>
        <a:prstGeom prst="rect">
          <a:avLst/>
        </a:prstGeom>
      </xdr:spPr>
    </xdr:pic>
    <xdr:clientData/>
  </xdr:twoCellAnchor>
  <xdr:twoCellAnchor editAs="oneCell">
    <xdr:from>
      <xdr:col>0</xdr:col>
      <xdr:colOff>257175</xdr:colOff>
      <xdr:row>10</xdr:row>
      <xdr:rowOff>38100</xdr:rowOff>
    </xdr:from>
    <xdr:to>
      <xdr:col>5</xdr:col>
      <xdr:colOff>105021</xdr:colOff>
      <xdr:row>16</xdr:row>
      <xdr:rowOff>95250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FCFDC4-9239-4F99-A7FF-AD2727ED7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175" y="1943100"/>
          <a:ext cx="2895846" cy="1200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</xdr:row>
      <xdr:rowOff>152400</xdr:rowOff>
    </xdr:from>
    <xdr:to>
      <xdr:col>6</xdr:col>
      <xdr:colOff>478649</xdr:colOff>
      <xdr:row>20</xdr:row>
      <xdr:rowOff>1921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647C5DE-C2DD-4345-9F05-932D546C7A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390900"/>
          <a:ext cx="4136249" cy="42102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447675</xdr:colOff>
      <xdr:row>41</xdr:row>
      <xdr:rowOff>42861</xdr:rowOff>
    </xdr:from>
    <xdr:to>
      <xdr:col>9</xdr:col>
      <xdr:colOff>542925</xdr:colOff>
      <xdr:row>58</xdr:row>
      <xdr:rowOff>123824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BFD93B4-5D73-432C-BF8D-1E5822C9A83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13</xdr:col>
      <xdr:colOff>190499</xdr:colOff>
      <xdr:row>28</xdr:row>
      <xdr:rowOff>33336</xdr:rowOff>
    </xdr:from>
    <xdr:to>
      <xdr:col>22</xdr:col>
      <xdr:colOff>581024</xdr:colOff>
      <xdr:row>46</xdr:row>
      <xdr:rowOff>123824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430683CD-10D8-461E-B7FB-0C046741C58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3</xdr:col>
      <xdr:colOff>419100</xdr:colOff>
      <xdr:row>21</xdr:row>
      <xdr:rowOff>47625</xdr:rowOff>
    </xdr:from>
    <xdr:to>
      <xdr:col>7</xdr:col>
      <xdr:colOff>57469</xdr:colOff>
      <xdr:row>26</xdr:row>
      <xdr:rowOff>22511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491317F-B18A-44DA-8092-CE3057804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7900" y="4124325"/>
          <a:ext cx="2410144" cy="936911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381000</xdr:colOff>
      <xdr:row>46</xdr:row>
      <xdr:rowOff>180975</xdr:rowOff>
    </xdr:from>
    <xdr:to>
      <xdr:col>7</xdr:col>
      <xdr:colOff>180975</xdr:colOff>
      <xdr:row>61</xdr:row>
      <xdr:rowOff>104775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123340FD-C46A-4C2D-847B-91F06B2D190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390525</xdr:colOff>
      <xdr:row>50</xdr:row>
      <xdr:rowOff>71437</xdr:rowOff>
    </xdr:from>
    <xdr:to>
      <xdr:col>6</xdr:col>
      <xdr:colOff>552450</xdr:colOff>
      <xdr:row>64</xdr:row>
      <xdr:rowOff>147637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E15D28CD-43EA-485D-96CA-9F7F63C454E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</xdr:col>
      <xdr:colOff>1028700</xdr:colOff>
      <xdr:row>74</xdr:row>
      <xdr:rowOff>142875</xdr:rowOff>
    </xdr:from>
    <xdr:to>
      <xdr:col>6</xdr:col>
      <xdr:colOff>218921</xdr:colOff>
      <xdr:row>88</xdr:row>
      <xdr:rowOff>94461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8F0CD6E-0A3C-4D56-8425-161D919F1B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47900" y="14325600"/>
          <a:ext cx="3619346" cy="2618586"/>
        </a:xfrm>
        <a:prstGeom prst="rect">
          <a:avLst/>
        </a:prstGeom>
      </xdr:spPr>
    </xdr:pic>
    <xdr:clientData/>
  </xdr:twoCellAnchor>
  <xdr:twoCellAnchor editAs="oneCell">
    <xdr:from>
      <xdr:col>14</xdr:col>
      <xdr:colOff>483374</xdr:colOff>
      <xdr:row>88</xdr:row>
      <xdr:rowOff>76200</xdr:rowOff>
    </xdr:from>
    <xdr:to>
      <xdr:col>17</xdr:col>
      <xdr:colOff>529099</xdr:colOff>
      <xdr:row>101</xdr:row>
      <xdr:rowOff>25412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32D0F37A-8165-44FA-ADEC-ABB4EFA33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31849" y="16925925"/>
          <a:ext cx="3360425" cy="2425712"/>
        </a:xfrm>
        <a:prstGeom prst="rect">
          <a:avLst/>
        </a:prstGeom>
      </xdr:spPr>
    </xdr:pic>
    <xdr:clientData/>
  </xdr:twoCellAnchor>
  <xdr:twoCellAnchor editAs="oneCell">
    <xdr:from>
      <xdr:col>18</xdr:col>
      <xdr:colOff>904874</xdr:colOff>
      <xdr:row>64</xdr:row>
      <xdr:rowOff>152400</xdr:rowOff>
    </xdr:from>
    <xdr:to>
      <xdr:col>23</xdr:col>
      <xdr:colOff>358847</xdr:colOff>
      <xdr:row>80</xdr:row>
      <xdr:rowOff>80150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E889FE6-627D-4963-B16B-698E0A5E3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72924" y="12430125"/>
          <a:ext cx="3978348" cy="2975750"/>
        </a:xfrm>
        <a:prstGeom prst="rect">
          <a:avLst/>
        </a:prstGeom>
      </xdr:spPr>
    </xdr:pic>
    <xdr:clientData/>
  </xdr:twoCellAnchor>
  <xdr:twoCellAnchor>
    <xdr:from>
      <xdr:col>14</xdr:col>
      <xdr:colOff>581025</xdr:colOff>
      <xdr:row>49</xdr:row>
      <xdr:rowOff>166687</xdr:rowOff>
    </xdr:from>
    <xdr:to>
      <xdr:col>19</xdr:col>
      <xdr:colOff>28575</xdr:colOff>
      <xdr:row>64</xdr:row>
      <xdr:rowOff>52387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3F3FAD35-C35D-402D-85D9-A1330D6B8A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</xdr:col>
      <xdr:colOff>1162050</xdr:colOff>
      <xdr:row>50</xdr:row>
      <xdr:rowOff>61912</xdr:rowOff>
    </xdr:from>
    <xdr:to>
      <xdr:col>14</xdr:col>
      <xdr:colOff>104775</xdr:colOff>
      <xdr:row>64</xdr:row>
      <xdr:rowOff>138112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E5B29F6F-A878-4E8E-990A-6C632729EDE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1019175</xdr:colOff>
      <xdr:row>13</xdr:row>
      <xdr:rowOff>33337</xdr:rowOff>
    </xdr:from>
    <xdr:to>
      <xdr:col>18</xdr:col>
      <xdr:colOff>571500</xdr:colOff>
      <xdr:row>27</xdr:row>
      <xdr:rowOff>109537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3487FDE0-976E-48D8-AD77-1AC80FDA022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838200</xdr:colOff>
      <xdr:row>28</xdr:row>
      <xdr:rowOff>176212</xdr:rowOff>
    </xdr:from>
    <xdr:to>
      <xdr:col>18</xdr:col>
      <xdr:colOff>390525</xdr:colOff>
      <xdr:row>43</xdr:row>
      <xdr:rowOff>61912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7CC5D27-BFB5-4606-AB29-7B8E14BF5E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247651</xdr:colOff>
      <xdr:row>0</xdr:row>
      <xdr:rowOff>66676</xdr:rowOff>
    </xdr:from>
    <xdr:to>
      <xdr:col>5</xdr:col>
      <xdr:colOff>304800</xdr:colOff>
      <xdr:row>4</xdr:row>
      <xdr:rowOff>30912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CE66592-111C-418C-B8C6-564C71820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1" y="66676"/>
          <a:ext cx="3105149" cy="726236"/>
        </a:xfrm>
        <a:prstGeom prst="rect">
          <a:avLst/>
        </a:prstGeom>
      </xdr:spPr>
    </xdr:pic>
    <xdr:clientData/>
  </xdr:twoCellAnchor>
  <xdr:twoCellAnchor editAs="oneCell">
    <xdr:from>
      <xdr:col>0</xdr:col>
      <xdr:colOff>76199</xdr:colOff>
      <xdr:row>4</xdr:row>
      <xdr:rowOff>85725</xdr:rowOff>
    </xdr:from>
    <xdr:to>
      <xdr:col>4</xdr:col>
      <xdr:colOff>238125</xdr:colOff>
      <xdr:row>7</xdr:row>
      <xdr:rowOff>123676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C0438B9-C0FF-48BF-A491-6EB5ECED0C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" y="847725"/>
          <a:ext cx="2600326" cy="609451"/>
        </a:xfrm>
        <a:prstGeom prst="rect">
          <a:avLst/>
        </a:prstGeom>
      </xdr:spPr>
    </xdr:pic>
    <xdr:clientData/>
  </xdr:twoCellAnchor>
  <xdr:twoCellAnchor editAs="oneCell">
    <xdr:from>
      <xdr:col>0</xdr:col>
      <xdr:colOff>142874</xdr:colOff>
      <xdr:row>7</xdr:row>
      <xdr:rowOff>190499</xdr:rowOff>
    </xdr:from>
    <xdr:to>
      <xdr:col>3</xdr:col>
      <xdr:colOff>561975</xdr:colOff>
      <xdr:row>12</xdr:row>
      <xdr:rowOff>74944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CCC2C8E-FA0B-4FB6-8895-1A910BEB8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874" y="1523999"/>
          <a:ext cx="2247901" cy="836945"/>
        </a:xfrm>
        <a:prstGeom prst="rect">
          <a:avLst/>
        </a:prstGeom>
      </xdr:spPr>
    </xdr:pic>
    <xdr:clientData/>
  </xdr:twoCellAnchor>
  <xdr:twoCellAnchor editAs="oneCell">
    <xdr:from>
      <xdr:col>0</xdr:col>
      <xdr:colOff>145199</xdr:colOff>
      <xdr:row>12</xdr:row>
      <xdr:rowOff>176999</xdr:rowOff>
    </xdr:from>
    <xdr:to>
      <xdr:col>6</xdr:col>
      <xdr:colOff>531043</xdr:colOff>
      <xdr:row>22</xdr:row>
      <xdr:rowOff>104775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D959B66-981C-4BAB-B0A4-DD137D5A38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5199" y="2462999"/>
          <a:ext cx="4043444" cy="1832776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19051</xdr:colOff>
      <xdr:row>0</xdr:row>
      <xdr:rowOff>94724</xdr:rowOff>
    </xdr:from>
    <xdr:to>
      <xdr:col>13</xdr:col>
      <xdr:colOff>209551</xdr:colOff>
      <xdr:row>2</xdr:row>
      <xdr:rowOff>161756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FF30A0-8B9D-4BA2-B03B-507FC1E701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15051" y="94724"/>
          <a:ext cx="2019300" cy="448032"/>
        </a:xfrm>
        <a:prstGeom prst="rect">
          <a:avLst/>
        </a:prstGeom>
      </xdr:spPr>
    </xdr:pic>
    <xdr:clientData/>
  </xdr:twoCellAnchor>
  <xdr:twoCellAnchor editAs="oneCell">
    <xdr:from>
      <xdr:col>13</xdr:col>
      <xdr:colOff>607200</xdr:colOff>
      <xdr:row>0</xdr:row>
      <xdr:rowOff>34639</xdr:rowOff>
    </xdr:from>
    <xdr:to>
      <xdr:col>16</xdr:col>
      <xdr:colOff>477973</xdr:colOff>
      <xdr:row>3</xdr:row>
      <xdr:rowOff>123825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41754C2-5949-4DC5-93BE-F7AFAE2888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000" y="34639"/>
          <a:ext cx="1699573" cy="660686"/>
        </a:xfrm>
        <a:prstGeom prst="rect">
          <a:avLst/>
        </a:prstGeom>
      </xdr:spPr>
    </xdr:pic>
    <xdr:clientData/>
  </xdr:twoCellAnchor>
  <xdr:twoCellAnchor editAs="oneCell">
    <xdr:from>
      <xdr:col>10</xdr:col>
      <xdr:colOff>42825</xdr:colOff>
      <xdr:row>3</xdr:row>
      <xdr:rowOff>176796</xdr:rowOff>
    </xdr:from>
    <xdr:to>
      <xdr:col>15</xdr:col>
      <xdr:colOff>266700</xdr:colOff>
      <xdr:row>6</xdr:row>
      <xdr:rowOff>149295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19FE00F-C966-4D37-867F-220195DB17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38825" y="748296"/>
          <a:ext cx="3271875" cy="543999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85723</xdr:colOff>
      <xdr:row>7</xdr:row>
      <xdr:rowOff>19051</xdr:rowOff>
    </xdr:from>
    <xdr:to>
      <xdr:col>17</xdr:col>
      <xdr:colOff>317736</xdr:colOff>
      <xdr:row>22</xdr:row>
      <xdr:rowOff>47625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D2659408-87A8-42A0-8C4F-38D2CF4DA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81723" y="1352551"/>
          <a:ext cx="4499213" cy="2886074"/>
        </a:xfrm>
        <a:prstGeom prst="rect">
          <a:avLst/>
        </a:prstGeom>
      </xdr:spPr>
    </xdr:pic>
    <xdr:clientData/>
  </xdr:twoCellAnchor>
  <xdr:twoCellAnchor editAs="oneCell">
    <xdr:from>
      <xdr:col>4</xdr:col>
      <xdr:colOff>299434</xdr:colOff>
      <xdr:row>4</xdr:row>
      <xdr:rowOff>123825</xdr:rowOff>
    </xdr:from>
    <xdr:to>
      <xdr:col>8</xdr:col>
      <xdr:colOff>544310</xdr:colOff>
      <xdr:row>8</xdr:row>
      <xdr:rowOff>47625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06AE799-55D8-4FA8-9572-EAE39FF4A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834" y="885825"/>
          <a:ext cx="2683276" cy="685800"/>
        </a:xfrm>
        <a:prstGeom prst="rect">
          <a:avLst/>
        </a:prstGeom>
      </xdr:spPr>
    </xdr:pic>
    <xdr:clientData/>
  </xdr:twoCellAnchor>
  <xdr:twoCellAnchor editAs="oneCell">
    <xdr:from>
      <xdr:col>4</xdr:col>
      <xdr:colOff>53486</xdr:colOff>
      <xdr:row>8</xdr:row>
      <xdr:rowOff>85725</xdr:rowOff>
    </xdr:from>
    <xdr:to>
      <xdr:col>8</xdr:col>
      <xdr:colOff>452994</xdr:colOff>
      <xdr:row>12</xdr:row>
      <xdr:rowOff>121153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476AB59C-9C20-426E-9E29-6CF6115393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1886" y="1609725"/>
          <a:ext cx="2837908" cy="797428"/>
        </a:xfrm>
        <a:prstGeom prst="rect">
          <a:avLst/>
        </a:prstGeom>
      </xdr:spPr>
    </xdr:pic>
    <xdr:clientData/>
  </xdr:twoCellAnchor>
  <xdr:twoCellAnchor editAs="oneCell">
    <xdr:from>
      <xdr:col>6</xdr:col>
      <xdr:colOff>590550</xdr:colOff>
      <xdr:row>13</xdr:row>
      <xdr:rowOff>47625</xdr:rowOff>
    </xdr:from>
    <xdr:to>
      <xdr:col>8</xdr:col>
      <xdr:colOff>551835</xdr:colOff>
      <xdr:row>16</xdr:row>
      <xdr:rowOff>47463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7829D0F-3B09-40E5-9133-F66EBF872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8150" y="2524125"/>
          <a:ext cx="1180485" cy="571338"/>
        </a:xfrm>
        <a:prstGeom prst="rect">
          <a:avLst/>
        </a:prstGeom>
      </xdr:spPr>
    </xdr:pic>
    <xdr:clientData/>
  </xdr:twoCellAnchor>
  <xdr:twoCellAnchor editAs="oneCell">
    <xdr:from>
      <xdr:col>0</xdr:col>
      <xdr:colOff>66676</xdr:colOff>
      <xdr:row>23</xdr:row>
      <xdr:rowOff>179914</xdr:rowOff>
    </xdr:from>
    <xdr:to>
      <xdr:col>6</xdr:col>
      <xdr:colOff>333376</xdr:colOff>
      <xdr:row>37</xdr:row>
      <xdr:rowOff>56442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6276C87-61CB-4B24-94ED-93643127A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6" y="4561414"/>
          <a:ext cx="3924300" cy="2543528"/>
        </a:xfrm>
        <a:prstGeom prst="rect">
          <a:avLst/>
        </a:prstGeom>
      </xdr:spPr>
    </xdr:pic>
    <xdr:clientData/>
  </xdr:twoCellAnchor>
  <xdr:twoCellAnchor editAs="oneCell">
    <xdr:from>
      <xdr:col>6</xdr:col>
      <xdr:colOff>514350</xdr:colOff>
      <xdr:row>23</xdr:row>
      <xdr:rowOff>17713</xdr:rowOff>
    </xdr:from>
    <xdr:to>
      <xdr:col>13</xdr:col>
      <xdr:colOff>257175</xdr:colOff>
      <xdr:row>38</xdr:row>
      <xdr:rowOff>46879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B12E182-E0A2-4CCF-8734-106C1DF30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1950" y="4399213"/>
          <a:ext cx="4010025" cy="2886666"/>
        </a:xfrm>
        <a:prstGeom prst="rect">
          <a:avLst/>
        </a:prstGeom>
      </xdr:spPr>
    </xdr:pic>
    <xdr:clientData/>
  </xdr:twoCellAnchor>
  <xdr:twoCellAnchor editAs="oneCell">
    <xdr:from>
      <xdr:col>13</xdr:col>
      <xdr:colOff>370831</xdr:colOff>
      <xdr:row>25</xdr:row>
      <xdr:rowOff>180975</xdr:rowOff>
    </xdr:from>
    <xdr:to>
      <xdr:col>20</xdr:col>
      <xdr:colOff>314325</xdr:colOff>
      <xdr:row>33</xdr:row>
      <xdr:rowOff>171112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00EAFDD-FD3A-410C-A8C8-9AE89DBF6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5631" y="4943475"/>
          <a:ext cx="4210694" cy="1514137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485775</xdr:colOff>
      <xdr:row>38</xdr:row>
      <xdr:rowOff>73342</xdr:rowOff>
    </xdr:from>
    <xdr:to>
      <xdr:col>9</xdr:col>
      <xdr:colOff>276224</xdr:colOff>
      <xdr:row>52</xdr:row>
      <xdr:rowOff>36130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C8D55617-B84B-4553-8614-07448B9DBA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14575" y="7312342"/>
          <a:ext cx="3448049" cy="2629788"/>
        </a:xfrm>
        <a:prstGeom prst="rect">
          <a:avLst/>
        </a:prstGeom>
      </xdr:spPr>
    </xdr:pic>
    <xdr:clientData/>
  </xdr:twoCellAnchor>
  <xdr:twoCellAnchor editAs="oneCell">
    <xdr:from>
      <xdr:col>10</xdr:col>
      <xdr:colOff>390526</xdr:colOff>
      <xdr:row>39</xdr:row>
      <xdr:rowOff>0</xdr:rowOff>
    </xdr:from>
    <xdr:to>
      <xdr:col>18</xdr:col>
      <xdr:colOff>286280</xdr:colOff>
      <xdr:row>54</xdr:row>
      <xdr:rowOff>57150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2CD77F2-FCFE-4C3D-AC83-EBFEC6EC5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86526" y="7429500"/>
          <a:ext cx="4772554" cy="2914650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523874</xdr:colOff>
      <xdr:row>54</xdr:row>
      <xdr:rowOff>187423</xdr:rowOff>
    </xdr:from>
    <xdr:to>
      <xdr:col>10</xdr:col>
      <xdr:colOff>503939</xdr:colOff>
      <xdr:row>62</xdr:row>
      <xdr:rowOff>94989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C5430B8-C317-457D-982E-38BE84DC7B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3074" y="10474423"/>
          <a:ext cx="4856865" cy="1431566"/>
        </a:xfrm>
        <a:prstGeom prst="rect">
          <a:avLst/>
        </a:prstGeom>
      </xdr:spPr>
    </xdr:pic>
    <xdr:clientData/>
  </xdr:twoCellAnchor>
  <xdr:twoCellAnchor editAs="oneCell">
    <xdr:from>
      <xdr:col>11</xdr:col>
      <xdr:colOff>590550</xdr:colOff>
      <xdr:row>55</xdr:row>
      <xdr:rowOff>47601</xdr:rowOff>
    </xdr:from>
    <xdr:to>
      <xdr:col>18</xdr:col>
      <xdr:colOff>475258</xdr:colOff>
      <xdr:row>67</xdr:row>
      <xdr:rowOff>104214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A235BC9F-0BE9-47F2-9F52-447AC1FAC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6150" y="10525101"/>
          <a:ext cx="4151908" cy="2342613"/>
        </a:xfrm>
        <a:prstGeom prst="rect">
          <a:avLst/>
        </a:prstGeom>
      </xdr:spPr>
    </xdr:pic>
    <xdr:clientData/>
  </xdr:twoCellAnchor>
  <xdr:twoCellAnchor editAs="oneCell">
    <xdr:from>
      <xdr:col>2</xdr:col>
      <xdr:colOff>523875</xdr:colOff>
      <xdr:row>64</xdr:row>
      <xdr:rowOff>134468</xdr:rowOff>
    </xdr:from>
    <xdr:to>
      <xdr:col>10</xdr:col>
      <xdr:colOff>253272</xdr:colOff>
      <xdr:row>76</xdr:row>
      <xdr:rowOff>133350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1F9A1B5-4CAA-432A-838D-E03099D28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43075" y="12326468"/>
          <a:ext cx="4606197" cy="2284882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167641</xdr:colOff>
      <xdr:row>0</xdr:row>
      <xdr:rowOff>89387</xdr:rowOff>
    </xdr:from>
    <xdr:to>
      <xdr:col>7</xdr:col>
      <xdr:colOff>132268</xdr:colOff>
      <xdr:row>6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0577061-78CD-42F7-A9E8-174AD422EB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1" y="89387"/>
          <a:ext cx="4231827" cy="1139338"/>
        </a:xfrm>
        <a:prstGeom prst="rect">
          <a:avLst/>
        </a:prstGeom>
      </xdr:spPr>
    </xdr:pic>
    <xdr:clientData/>
  </xdr:twoCellAnchor>
  <xdr:twoCellAnchor editAs="oneCell">
    <xdr:from>
      <xdr:col>0</xdr:col>
      <xdr:colOff>93907</xdr:colOff>
      <xdr:row>7</xdr:row>
      <xdr:rowOff>42697</xdr:rowOff>
    </xdr:from>
    <xdr:to>
      <xdr:col>7</xdr:col>
      <xdr:colOff>370409</xdr:colOff>
      <xdr:row>13</xdr:row>
      <xdr:rowOff>133350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A4EE190-AA72-44AF-9033-42A8FC6C01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907" y="1376197"/>
          <a:ext cx="4543702" cy="1233653"/>
        </a:xfrm>
        <a:prstGeom prst="rect">
          <a:avLst/>
        </a:prstGeom>
      </xdr:spPr>
    </xdr:pic>
    <xdr:clientData/>
  </xdr:twoCellAnchor>
  <xdr:twoCellAnchor editAs="oneCell">
    <xdr:from>
      <xdr:col>0</xdr:col>
      <xdr:colOff>247650</xdr:colOff>
      <xdr:row>14</xdr:row>
      <xdr:rowOff>104775</xdr:rowOff>
    </xdr:from>
    <xdr:to>
      <xdr:col>6</xdr:col>
      <xdr:colOff>456749</xdr:colOff>
      <xdr:row>27</xdr:row>
      <xdr:rowOff>161924</xdr:rowOff>
    </xdr:to>
    <xdr:pic>
      <xdr:nvPicPr>
        <xdr:cNvPr id="7" name="Picture 6" descr="ffe">
          <a:extLst>
            <a:ext uri="{FF2B5EF4-FFF2-40B4-BE49-F238E27FC236}">
              <a16:creationId xmlns:a16="http://schemas.microsoft.com/office/drawing/2014/main" id="{F74C7885-B309-4237-934F-DE0B6CE79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2771775"/>
          <a:ext cx="3866699" cy="2533649"/>
        </a:xfrm>
        <a:prstGeom prst="rect">
          <a:avLst/>
        </a:prstGeom>
      </xdr:spPr>
    </xdr:pic>
    <xdr:clientData/>
  </xdr:twoCellAnchor>
  <xdr:twoCellAnchor editAs="oneCell">
    <xdr:from>
      <xdr:col>8</xdr:col>
      <xdr:colOff>152128</xdr:colOff>
      <xdr:row>4</xdr:row>
      <xdr:rowOff>95250</xdr:rowOff>
    </xdr:from>
    <xdr:to>
      <xdr:col>15</xdr:col>
      <xdr:colOff>179931</xdr:colOff>
      <xdr:row>19</xdr:row>
      <xdr:rowOff>151692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46DD002-E8E8-4A51-8834-B7DB3E564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28928" y="857250"/>
          <a:ext cx="4295003" cy="2913942"/>
        </a:xfrm>
        <a:prstGeom prst="rect">
          <a:avLst/>
        </a:prstGeom>
      </xdr:spPr>
    </xdr:pic>
    <xdr:clientData/>
  </xdr:twoCellAnchor>
  <xdr:twoCellAnchor editAs="oneCell">
    <xdr:from>
      <xdr:col>8</xdr:col>
      <xdr:colOff>238125</xdr:colOff>
      <xdr:row>21</xdr:row>
      <xdr:rowOff>6627</xdr:rowOff>
    </xdr:from>
    <xdr:to>
      <xdr:col>15</xdr:col>
      <xdr:colOff>76200</xdr:colOff>
      <xdr:row>35</xdr:row>
      <xdr:rowOff>189892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66620B77-C953-41FD-8898-38AA22CE5C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14925" y="4007127"/>
          <a:ext cx="4105275" cy="2850265"/>
        </a:xfrm>
        <a:prstGeom prst="rect">
          <a:avLst/>
        </a:prstGeom>
      </xdr:spPr>
    </xdr:pic>
    <xdr:clientData/>
  </xdr:twoCellAnchor>
  <xdr:twoCellAnchor editAs="oneCell">
    <xdr:from>
      <xdr:col>16</xdr:col>
      <xdr:colOff>19049</xdr:colOff>
      <xdr:row>21</xdr:row>
      <xdr:rowOff>47626</xdr:rowOff>
    </xdr:from>
    <xdr:to>
      <xdr:col>24</xdr:col>
      <xdr:colOff>116216</xdr:colOff>
      <xdr:row>35</xdr:row>
      <xdr:rowOff>187066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537B1C6-B8EB-4167-B6E0-C4FF101DDA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2649" y="4048126"/>
          <a:ext cx="4973967" cy="2806440"/>
        </a:xfrm>
        <a:prstGeom prst="rect">
          <a:avLst/>
        </a:prstGeom>
      </xdr:spPr>
    </xdr:pic>
    <xdr:clientData/>
  </xdr:twoCellAnchor>
  <xdr:twoCellAnchor editAs="oneCell">
    <xdr:from>
      <xdr:col>0</xdr:col>
      <xdr:colOff>390525</xdr:colOff>
      <xdr:row>39</xdr:row>
      <xdr:rowOff>5227</xdr:rowOff>
    </xdr:from>
    <xdr:to>
      <xdr:col>5</xdr:col>
      <xdr:colOff>200025</xdr:colOff>
      <xdr:row>52</xdr:row>
      <xdr:rowOff>29040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28C92AF-893B-418C-8815-C5BFBE7BD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0525" y="7434727"/>
          <a:ext cx="2857500" cy="2500313"/>
        </a:xfrm>
        <a:prstGeom prst="rect">
          <a:avLst/>
        </a:prstGeom>
      </xdr:spPr>
    </xdr:pic>
    <xdr:clientData/>
  </xdr:twoCellAnchor>
  <xdr:twoCellAnchor editAs="oneCell">
    <xdr:from>
      <xdr:col>0</xdr:col>
      <xdr:colOff>485776</xdr:colOff>
      <xdr:row>29</xdr:row>
      <xdr:rowOff>85724</xdr:rowOff>
    </xdr:from>
    <xdr:to>
      <xdr:col>6</xdr:col>
      <xdr:colOff>485775</xdr:colOff>
      <xdr:row>38</xdr:row>
      <xdr:rowOff>43269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F15B4DC-4E90-4805-A5FB-0EE4571B5E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5776" y="5610224"/>
          <a:ext cx="3657599" cy="1672045"/>
        </a:xfrm>
        <a:prstGeom prst="rect">
          <a:avLst/>
        </a:prstGeom>
      </xdr:spPr>
    </xdr:pic>
    <xdr:clientData/>
  </xdr:twoCellAnchor>
  <xdr:twoCellAnchor editAs="oneCell">
    <xdr:from>
      <xdr:col>13</xdr:col>
      <xdr:colOff>371475</xdr:colOff>
      <xdr:row>37</xdr:row>
      <xdr:rowOff>114299</xdr:rowOff>
    </xdr:from>
    <xdr:to>
      <xdr:col>20</xdr:col>
      <xdr:colOff>179698</xdr:colOff>
      <xdr:row>52</xdr:row>
      <xdr:rowOff>66022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65B4BB9-5029-49FE-8F85-19AF1DD28B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96275" y="7162799"/>
          <a:ext cx="4075423" cy="2809223"/>
        </a:xfrm>
        <a:prstGeom prst="rect">
          <a:avLst/>
        </a:prstGeom>
      </xdr:spPr>
    </xdr:pic>
    <xdr:clientData/>
  </xdr:twoCellAnchor>
  <xdr:twoCellAnchor editAs="oneCell">
    <xdr:from>
      <xdr:col>6</xdr:col>
      <xdr:colOff>130950</xdr:colOff>
      <xdr:row>38</xdr:row>
      <xdr:rowOff>133350</xdr:rowOff>
    </xdr:from>
    <xdr:to>
      <xdr:col>12</xdr:col>
      <xdr:colOff>574755</xdr:colOff>
      <xdr:row>55</xdr:row>
      <xdr:rowOff>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B0FDD33-217D-4670-A84E-3BCD6FDB68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88550" y="7372350"/>
          <a:ext cx="4101405" cy="310515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285750</xdr:colOff>
      <xdr:row>56</xdr:row>
      <xdr:rowOff>31582</xdr:rowOff>
    </xdr:from>
    <xdr:to>
      <xdr:col>8</xdr:col>
      <xdr:colOff>184881</xdr:colOff>
      <xdr:row>72</xdr:row>
      <xdr:rowOff>133349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2CF6FE9-DB26-4ED3-8008-01B90E675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0" y="10699582"/>
          <a:ext cx="4166331" cy="3149767"/>
        </a:xfrm>
        <a:prstGeom prst="rect">
          <a:avLst/>
        </a:prstGeom>
      </xdr:spPr>
    </xdr:pic>
    <xdr:clientData/>
  </xdr:twoCellAnchor>
  <xdr:twoCellAnchor editAs="oneCell">
    <xdr:from>
      <xdr:col>8</xdr:col>
      <xdr:colOff>568052</xdr:colOff>
      <xdr:row>56</xdr:row>
      <xdr:rowOff>9525</xdr:rowOff>
    </xdr:from>
    <xdr:to>
      <xdr:col>17</xdr:col>
      <xdr:colOff>493426</xdr:colOff>
      <xdr:row>73</xdr:row>
      <xdr:rowOff>9525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6857DB59-FA0C-487A-AD8B-B7A1740BD3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4852" y="10677525"/>
          <a:ext cx="5411774" cy="3238500"/>
        </a:xfrm>
        <a:prstGeom prst="rect">
          <a:avLst/>
        </a:prstGeom>
      </xdr:spPr>
    </xdr:pic>
    <xdr:clientData/>
  </xdr:twoCellAnchor>
  <xdr:twoCellAnchor editAs="oneCell">
    <xdr:from>
      <xdr:col>15</xdr:col>
      <xdr:colOff>371475</xdr:colOff>
      <xdr:row>7</xdr:row>
      <xdr:rowOff>171450</xdr:rowOff>
    </xdr:from>
    <xdr:to>
      <xdr:col>22</xdr:col>
      <xdr:colOff>314969</xdr:colOff>
      <xdr:row>15</xdr:row>
      <xdr:rowOff>161587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AEE0DE31-FCA0-4AE7-B3F1-5CDD1AAA6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15475" y="1504950"/>
          <a:ext cx="4210694" cy="1514137"/>
        </a:xfrm>
        <a:prstGeom prst="rect">
          <a:avLst/>
        </a:prstGeom>
      </xdr:spPr>
    </xdr:pic>
    <xdr:clientData/>
  </xdr:twoCellAnchor>
  <xdr:twoCellAnchor editAs="oneCell">
    <xdr:from>
      <xdr:col>5</xdr:col>
      <xdr:colOff>533400</xdr:colOff>
      <xdr:row>74</xdr:row>
      <xdr:rowOff>133350</xdr:rowOff>
    </xdr:from>
    <xdr:to>
      <xdr:col>13</xdr:col>
      <xdr:colOff>339122</xdr:colOff>
      <xdr:row>91</xdr:row>
      <xdr:rowOff>37444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C36A3AE7-002A-4539-891C-C97B9BCC0C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81400" y="14230350"/>
          <a:ext cx="4682522" cy="31425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190500</xdr:colOff>
      <xdr:row>5</xdr:row>
      <xdr:rowOff>128587</xdr:rowOff>
    </xdr:from>
    <xdr:to>
      <xdr:col>17</xdr:col>
      <xdr:colOff>495300</xdr:colOff>
      <xdr:row>20</xdr:row>
      <xdr:rowOff>4762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2DE9F6A-AF40-4600-86D2-90CDF02B712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581900" y="1090612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304801</xdr:colOff>
      <xdr:row>1</xdr:row>
      <xdr:rowOff>57150</xdr:rowOff>
    </xdr:from>
    <xdr:to>
      <xdr:col>7</xdr:col>
      <xdr:colOff>28732</xdr:colOff>
      <xdr:row>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D5FB293-53DD-439B-91CA-1E1E3521A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1" y="247650"/>
          <a:ext cx="3991131" cy="933450"/>
        </a:xfrm>
        <a:prstGeom prst="rect">
          <a:avLst/>
        </a:prstGeom>
      </xdr:spPr>
    </xdr:pic>
    <xdr:clientData/>
  </xdr:twoCellAnchor>
  <xdr:twoCellAnchor editAs="oneCell">
    <xdr:from>
      <xdr:col>0</xdr:col>
      <xdr:colOff>352425</xdr:colOff>
      <xdr:row>7</xdr:row>
      <xdr:rowOff>19050</xdr:rowOff>
    </xdr:from>
    <xdr:to>
      <xdr:col>6</xdr:col>
      <xdr:colOff>514985</xdr:colOff>
      <xdr:row>11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FB15954-132C-4F5B-8B0E-033BC46646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2425" y="1352550"/>
          <a:ext cx="3820160" cy="895350"/>
        </a:xfrm>
        <a:prstGeom prst="rect">
          <a:avLst/>
        </a:prstGeom>
      </xdr:spPr>
    </xdr:pic>
    <xdr:clientData/>
  </xdr:twoCellAnchor>
  <xdr:twoCellAnchor editAs="oneCell">
    <xdr:from>
      <xdr:col>0</xdr:col>
      <xdr:colOff>581025</xdr:colOff>
      <xdr:row>13</xdr:row>
      <xdr:rowOff>28574</xdr:rowOff>
    </xdr:from>
    <xdr:to>
      <xdr:col>7</xdr:col>
      <xdr:colOff>23306</xdr:colOff>
      <xdr:row>20</xdr:row>
      <xdr:rowOff>76199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9823D31-417E-4E79-A499-77D9620EC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2505074"/>
          <a:ext cx="3709481" cy="1381125"/>
        </a:xfrm>
        <a:prstGeom prst="rect">
          <a:avLst/>
        </a:prstGeom>
      </xdr:spPr>
    </xdr:pic>
    <xdr:clientData/>
  </xdr:twoCellAnchor>
  <xdr:twoCellAnchor editAs="oneCell">
    <xdr:from>
      <xdr:col>7</xdr:col>
      <xdr:colOff>373800</xdr:colOff>
      <xdr:row>14</xdr:row>
      <xdr:rowOff>30900</xdr:rowOff>
    </xdr:from>
    <xdr:to>
      <xdr:col>16</xdr:col>
      <xdr:colOff>450959</xdr:colOff>
      <xdr:row>27</xdr:row>
      <xdr:rowOff>76200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A407F8A-7ED1-42C6-A861-0D695D18EB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41000" y="2697900"/>
          <a:ext cx="5563559" cy="2521800"/>
        </a:xfrm>
        <a:prstGeom prst="rect">
          <a:avLst/>
        </a:prstGeom>
      </xdr:spPr>
    </xdr:pic>
    <xdr:clientData/>
  </xdr:twoCellAnchor>
  <xdr:twoCellAnchor editAs="oneCell">
    <xdr:from>
      <xdr:col>7</xdr:col>
      <xdr:colOff>108935</xdr:colOff>
      <xdr:row>1</xdr:row>
      <xdr:rowOff>142874</xdr:rowOff>
    </xdr:from>
    <xdr:to>
      <xdr:col>13</xdr:col>
      <xdr:colOff>215379</xdr:colOff>
      <xdr:row>6</xdr:row>
      <xdr:rowOff>152400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5BCAAAA-D3E8-4524-BCA4-A4F084878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76135" y="333374"/>
          <a:ext cx="3764044" cy="962026"/>
        </a:xfrm>
        <a:prstGeom prst="rect">
          <a:avLst/>
        </a:prstGeom>
      </xdr:spPr>
    </xdr:pic>
    <xdr:clientData/>
  </xdr:twoCellAnchor>
  <xdr:twoCellAnchor editAs="oneCell">
    <xdr:from>
      <xdr:col>7</xdr:col>
      <xdr:colOff>129686</xdr:colOff>
      <xdr:row>7</xdr:row>
      <xdr:rowOff>114298</xdr:rowOff>
    </xdr:from>
    <xdr:to>
      <xdr:col>13</xdr:col>
      <xdr:colOff>65259</xdr:colOff>
      <xdr:row>12</xdr:row>
      <xdr:rowOff>171449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945F7EC-0ED5-49DD-B7D6-D5F97E157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6886" y="1447798"/>
          <a:ext cx="3593173" cy="1009651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304801</xdr:colOff>
      <xdr:row>21</xdr:row>
      <xdr:rowOff>133348</xdr:rowOff>
    </xdr:from>
    <xdr:to>
      <xdr:col>6</xdr:col>
      <xdr:colOff>47625</xdr:colOff>
      <xdr:row>28</xdr:row>
      <xdr:rowOff>150567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C761BD-3951-42A7-940A-793C0C2544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1" y="4133848"/>
          <a:ext cx="2790824" cy="135071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342900</xdr:colOff>
      <xdr:row>7</xdr:row>
      <xdr:rowOff>52387</xdr:rowOff>
    </xdr:from>
    <xdr:to>
      <xdr:col>20</xdr:col>
      <xdr:colOff>38100</xdr:colOff>
      <xdr:row>21</xdr:row>
      <xdr:rowOff>128587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D95D972-641F-456E-B22B-52FC179C323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18</xdr:row>
      <xdr:rowOff>138112</xdr:rowOff>
    </xdr:from>
    <xdr:to>
      <xdr:col>7</xdr:col>
      <xdr:colOff>419100</xdr:colOff>
      <xdr:row>33</xdr:row>
      <xdr:rowOff>23812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5D024AC-9C72-4A56-9DFB-51C76503E85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20</xdr:col>
      <xdr:colOff>114300</xdr:colOff>
      <xdr:row>1</xdr:row>
      <xdr:rowOff>176212</xdr:rowOff>
    </xdr:from>
    <xdr:to>
      <xdr:col>27</xdr:col>
      <xdr:colOff>419100</xdr:colOff>
      <xdr:row>16</xdr:row>
      <xdr:rowOff>61912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4F4918C-FA3A-47C1-80EE-2F8CBC5528B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0</xdr:col>
      <xdr:colOff>600075</xdr:colOff>
      <xdr:row>31</xdr:row>
      <xdr:rowOff>109537</xdr:rowOff>
    </xdr:from>
    <xdr:to>
      <xdr:col>8</xdr:col>
      <xdr:colOff>295275</xdr:colOff>
      <xdr:row>45</xdr:row>
      <xdr:rowOff>185737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195EC04-6F73-4D30-8DFC-53C3AE90987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323850</xdr:colOff>
      <xdr:row>2</xdr:row>
      <xdr:rowOff>157162</xdr:rowOff>
    </xdr:from>
    <xdr:to>
      <xdr:col>14</xdr:col>
      <xdr:colOff>19050</xdr:colOff>
      <xdr:row>17</xdr:row>
      <xdr:rowOff>42862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8999EEF-8E57-41F8-8F9B-52AE7A8BE1A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123825</xdr:colOff>
      <xdr:row>3</xdr:row>
      <xdr:rowOff>71437</xdr:rowOff>
    </xdr:from>
    <xdr:to>
      <xdr:col>21</xdr:col>
      <xdr:colOff>428625</xdr:colOff>
      <xdr:row>17</xdr:row>
      <xdr:rowOff>147637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5F32989D-5C8A-4920-8702-43E99715542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171450</xdr:colOff>
      <xdr:row>0</xdr:row>
      <xdr:rowOff>0</xdr:rowOff>
    </xdr:from>
    <xdr:to>
      <xdr:col>19</xdr:col>
      <xdr:colOff>476250</xdr:colOff>
      <xdr:row>14</xdr:row>
      <xdr:rowOff>76200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2FA332BD-6029-4F03-A198-75DEA1C71A6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533401</xdr:colOff>
      <xdr:row>1</xdr:row>
      <xdr:rowOff>173479</xdr:rowOff>
    </xdr:from>
    <xdr:to>
      <xdr:col>5</xdr:col>
      <xdr:colOff>342900</xdr:colOff>
      <xdr:row>11</xdr:row>
      <xdr:rowOff>113773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5684FAD-D828-4B4E-A51A-0551F50611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401" y="363979"/>
          <a:ext cx="2857499" cy="184529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5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7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7CA43A-D13A-42E2-9EAE-C66F628D52FD}">
  <dimension ref="A1"/>
  <sheetViews>
    <sheetView topLeftCell="A25" workbookViewId="0">
      <selection activeCell="I12" sqref="I1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6092B3-79D5-4CE3-87A5-F59D3483EFDD}">
  <dimension ref="H1:T24"/>
  <sheetViews>
    <sheetView topLeftCell="E1" workbookViewId="0">
      <selection activeCell="M4" sqref="M4"/>
    </sheetView>
  </sheetViews>
  <sheetFormatPr defaultRowHeight="15" x14ac:dyDescent="0.25"/>
  <cols>
    <col min="12" max="12" width="19.5703125" style="14" customWidth="1"/>
    <col min="13" max="13" width="28.42578125" customWidth="1"/>
    <col min="16" max="16" width="4.28515625" customWidth="1"/>
    <col min="17" max="17" width="18.5703125" customWidth="1"/>
  </cols>
  <sheetData>
    <row r="1" spans="8:20" x14ac:dyDescent="0.25">
      <c r="Q1" s="12"/>
      <c r="S1" s="8">
        <v>5</v>
      </c>
      <c r="T1" s="8">
        <v>0.5</v>
      </c>
    </row>
    <row r="2" spans="8:20" x14ac:dyDescent="0.25">
      <c r="H2" s="12" t="s">
        <v>37</v>
      </c>
      <c r="I2" s="12">
        <v>20</v>
      </c>
      <c r="L2" s="14" t="s">
        <v>27</v>
      </c>
      <c r="M2" s="12" t="s">
        <v>38</v>
      </c>
      <c r="Q2" s="8" t="s">
        <v>27</v>
      </c>
      <c r="R2" s="8"/>
      <c r="S2" s="12"/>
    </row>
    <row r="3" spans="8:20" x14ac:dyDescent="0.25">
      <c r="H3" s="12" t="s">
        <v>38</v>
      </c>
      <c r="I3" s="12">
        <v>0.1</v>
      </c>
      <c r="L3" s="14">
        <v>0</v>
      </c>
      <c r="M3" s="15">
        <f>_xlfn.BINOM.DIST(L3,$I$2,$I$3,FALSE)</f>
        <v>0.12157665459056925</v>
      </c>
      <c r="N3" s="13"/>
      <c r="Q3" s="8">
        <v>0</v>
      </c>
      <c r="R3" s="17">
        <f t="shared" ref="R3:R8" si="0">_xlfn.BINOM.DIST(Q3,$S$1,$T$1,0)</f>
        <v>3.125E-2</v>
      </c>
      <c r="S3" s="12"/>
    </row>
    <row r="4" spans="8:20" x14ac:dyDescent="0.25">
      <c r="L4" s="14">
        <v>1</v>
      </c>
      <c r="M4" s="15">
        <f t="shared" ref="M4:M23" si="1">_xlfn.BINOM.DIST(L4,$I$2,$I$3,FALSE)</f>
        <v>0.27017034353459846</v>
      </c>
      <c r="N4" s="13"/>
      <c r="Q4" s="8">
        <v>1</v>
      </c>
      <c r="R4" s="17">
        <f t="shared" si="0"/>
        <v>0.15624999999999992</v>
      </c>
      <c r="S4" s="12"/>
    </row>
    <row r="5" spans="8:20" x14ac:dyDescent="0.25">
      <c r="L5" s="14">
        <v>2</v>
      </c>
      <c r="M5" s="15">
        <f t="shared" si="1"/>
        <v>0.28517980706429835</v>
      </c>
      <c r="N5" s="13"/>
      <c r="Q5" s="8">
        <v>2</v>
      </c>
      <c r="R5" s="17">
        <f t="shared" si="0"/>
        <v>0.3125</v>
      </c>
      <c r="S5" s="12"/>
    </row>
    <row r="6" spans="8:20" x14ac:dyDescent="0.25">
      <c r="H6" t="s">
        <v>2</v>
      </c>
      <c r="I6">
        <f>I2*I3</f>
        <v>2</v>
      </c>
      <c r="L6" s="14">
        <v>3</v>
      </c>
      <c r="M6" s="15">
        <f t="shared" si="1"/>
        <v>0.19011987137619887</v>
      </c>
      <c r="N6" s="13"/>
      <c r="Q6" s="8">
        <v>3</v>
      </c>
      <c r="R6" s="17">
        <f t="shared" si="0"/>
        <v>0.3125</v>
      </c>
    </row>
    <row r="7" spans="8:20" x14ac:dyDescent="0.25">
      <c r="H7" t="s">
        <v>39</v>
      </c>
      <c r="I7">
        <f>I2*I3*(1-I3)</f>
        <v>1.8</v>
      </c>
      <c r="L7" s="14">
        <v>4</v>
      </c>
      <c r="M7" s="15">
        <f t="shared" si="1"/>
        <v>8.9778828149871717E-2</v>
      </c>
      <c r="N7" s="13"/>
      <c r="Q7" s="8">
        <v>4</v>
      </c>
      <c r="R7" s="17">
        <f t="shared" si="0"/>
        <v>0.15624999999999992</v>
      </c>
    </row>
    <row r="8" spans="8:20" x14ac:dyDescent="0.25">
      <c r="H8" t="s">
        <v>3</v>
      </c>
      <c r="I8">
        <f>SQRT(I7)</f>
        <v>1.3416407864998738</v>
      </c>
      <c r="L8" s="14">
        <v>5</v>
      </c>
      <c r="M8" s="15">
        <f t="shared" si="1"/>
        <v>3.1921361119954368E-2</v>
      </c>
      <c r="N8" s="13"/>
      <c r="Q8" s="8">
        <v>5</v>
      </c>
      <c r="R8" s="17">
        <f t="shared" si="0"/>
        <v>3.125E-2</v>
      </c>
    </row>
    <row r="9" spans="8:20" x14ac:dyDescent="0.25">
      <c r="L9" s="14">
        <v>6</v>
      </c>
      <c r="M9" s="15">
        <f t="shared" si="1"/>
        <v>8.867044755542881E-3</v>
      </c>
      <c r="N9" s="13"/>
    </row>
    <row r="10" spans="8:20" x14ac:dyDescent="0.25">
      <c r="L10" s="14">
        <v>7</v>
      </c>
      <c r="M10" s="15">
        <f t="shared" si="1"/>
        <v>1.9704543901206402E-3</v>
      </c>
      <c r="N10" s="13"/>
    </row>
    <row r="11" spans="8:20" x14ac:dyDescent="0.25">
      <c r="L11" s="14">
        <v>8</v>
      </c>
      <c r="M11" s="15">
        <f t="shared" si="1"/>
        <v>3.5577648710511571E-4</v>
      </c>
      <c r="N11" s="13"/>
      <c r="R11" s="8" t="s">
        <v>37</v>
      </c>
      <c r="S11" s="8" t="s">
        <v>38</v>
      </c>
      <c r="T11" s="16"/>
    </row>
    <row r="12" spans="8:20" x14ac:dyDescent="0.25">
      <c r="L12" s="14">
        <v>9</v>
      </c>
      <c r="M12" s="15">
        <f t="shared" si="1"/>
        <v>5.2707627719276334E-5</v>
      </c>
      <c r="N12" s="13"/>
      <c r="R12" s="8">
        <v>2</v>
      </c>
      <c r="S12" s="8">
        <v>0.5</v>
      </c>
      <c r="T12" s="16"/>
    </row>
    <row r="13" spans="8:20" x14ac:dyDescent="0.25">
      <c r="L13" s="14">
        <v>10</v>
      </c>
      <c r="M13" s="15">
        <f t="shared" si="1"/>
        <v>6.442043387911556E-6</v>
      </c>
      <c r="N13" s="13"/>
    </row>
    <row r="14" spans="8:20" x14ac:dyDescent="0.25">
      <c r="L14" s="14">
        <v>11</v>
      </c>
      <c r="M14" s="15">
        <f t="shared" si="1"/>
        <v>6.5071145332439828E-7</v>
      </c>
      <c r="N14" s="13"/>
      <c r="Q14" s="8" t="s">
        <v>4</v>
      </c>
      <c r="R14" s="8" t="s">
        <v>42</v>
      </c>
      <c r="S14" s="7"/>
    </row>
    <row r="15" spans="8:20" x14ac:dyDescent="0.25">
      <c r="L15" s="14">
        <v>12</v>
      </c>
      <c r="M15" s="15">
        <f t="shared" si="1"/>
        <v>5.4225954443699969E-8</v>
      </c>
      <c r="N15" s="13"/>
      <c r="Q15" s="8">
        <v>0</v>
      </c>
      <c r="R15" s="8">
        <f>_xlfn.BINOM.DIST(Q15,$R$12,$S$12,FALSE)</f>
        <v>0.25</v>
      </c>
      <c r="S15" s="7"/>
    </row>
    <row r="16" spans="8:20" x14ac:dyDescent="0.25">
      <c r="L16" s="14">
        <v>13</v>
      </c>
      <c r="M16" s="15">
        <f t="shared" si="1"/>
        <v>3.7077575688000076E-9</v>
      </c>
      <c r="N16" s="13"/>
      <c r="Q16" s="8">
        <v>1</v>
      </c>
      <c r="R16" s="8">
        <f t="shared" ref="R16:R17" si="2">_xlfn.BINOM.DIST(Q16,$R$12,$S$12,FALSE)</f>
        <v>0.49999999999999994</v>
      </c>
      <c r="S16" s="7"/>
    </row>
    <row r="17" spans="12:19" x14ac:dyDescent="0.25">
      <c r="L17" s="14">
        <v>14</v>
      </c>
      <c r="M17" s="15">
        <f t="shared" si="1"/>
        <v>2.0598653159999975E-10</v>
      </c>
      <c r="N17" s="13"/>
      <c r="Q17" s="8">
        <v>2</v>
      </c>
      <c r="R17" s="8">
        <f t="shared" si="2"/>
        <v>0.25</v>
      </c>
      <c r="S17" s="7"/>
    </row>
    <row r="18" spans="12:19" x14ac:dyDescent="0.25">
      <c r="L18" s="14">
        <v>15</v>
      </c>
      <c r="M18" s="15">
        <f t="shared" si="1"/>
        <v>9.1549569599999907E-12</v>
      </c>
      <c r="N18" s="13"/>
    </row>
    <row r="19" spans="12:19" x14ac:dyDescent="0.25">
      <c r="L19" s="14">
        <v>16</v>
      </c>
      <c r="M19" s="15">
        <f t="shared" si="1"/>
        <v>3.1788045000000092E-13</v>
      </c>
      <c r="N19" s="13"/>
    </row>
    <row r="20" spans="12:19" x14ac:dyDescent="0.25">
      <c r="L20" s="14">
        <v>17</v>
      </c>
      <c r="M20" s="15">
        <f t="shared" si="1"/>
        <v>8.3106000000000242E-15</v>
      </c>
      <c r="N20" s="13"/>
    </row>
    <row r="21" spans="12:19" x14ac:dyDescent="0.25">
      <c r="L21" s="14">
        <v>18</v>
      </c>
      <c r="M21" s="15">
        <f t="shared" si="1"/>
        <v>1.5390000000000012E-16</v>
      </c>
      <c r="N21" s="13"/>
    </row>
    <row r="22" spans="12:19" x14ac:dyDescent="0.25">
      <c r="L22" s="14">
        <v>19</v>
      </c>
      <c r="M22" s="15">
        <f t="shared" si="1"/>
        <v>1.7999999999999935E-18</v>
      </c>
      <c r="N22" s="13"/>
    </row>
    <row r="23" spans="12:19" x14ac:dyDescent="0.25">
      <c r="L23" s="14">
        <v>20</v>
      </c>
      <c r="M23" s="15">
        <f t="shared" si="1"/>
        <v>1.0000000000000063E-20</v>
      </c>
      <c r="N23" s="13"/>
    </row>
    <row r="24" spans="12:19" x14ac:dyDescent="0.25">
      <c r="N24" s="13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CD1779-33D7-4340-B601-E2CA7D205307}">
  <dimension ref="G1:S24"/>
  <sheetViews>
    <sheetView topLeftCell="C1" workbookViewId="0">
      <selection activeCell="G13" sqref="G13"/>
    </sheetView>
  </sheetViews>
  <sheetFormatPr defaultRowHeight="15" x14ac:dyDescent="0.25"/>
  <cols>
    <col min="10" max="10" width="17.42578125" customWidth="1"/>
    <col min="11" max="11" width="16" customWidth="1"/>
    <col min="15" max="15" width="25.5703125" customWidth="1"/>
    <col min="17" max="17" width="6.85546875" customWidth="1"/>
    <col min="18" max="18" width="20" customWidth="1"/>
    <col min="19" max="19" width="12" bestFit="1" customWidth="1"/>
  </cols>
  <sheetData>
    <row r="1" spans="7:19" x14ac:dyDescent="0.25">
      <c r="G1" s="16"/>
      <c r="H1" s="16"/>
      <c r="I1" s="16"/>
      <c r="J1" s="16" t="s">
        <v>45</v>
      </c>
      <c r="K1" s="16" t="s">
        <v>46</v>
      </c>
      <c r="L1" t="s">
        <v>38</v>
      </c>
      <c r="R1" s="16" t="s">
        <v>37</v>
      </c>
      <c r="S1" s="16" t="s">
        <v>38</v>
      </c>
    </row>
    <row r="2" spans="7:19" x14ac:dyDescent="0.25">
      <c r="G2" s="16" t="s">
        <v>43</v>
      </c>
      <c r="H2" s="16">
        <v>50</v>
      </c>
      <c r="I2" s="16"/>
      <c r="J2" s="16">
        <v>0</v>
      </c>
      <c r="K2" s="18">
        <f>_xlfn.BINOM.DIST(J2,$H$2,$H$3,FALSE)</f>
        <v>2.9576466371269977E-4</v>
      </c>
      <c r="L2" s="18">
        <f>_xlfn.BINOM.DIST(J2,$H$2,$H$3,TRUE)</f>
        <v>2.9576466371269977E-4</v>
      </c>
      <c r="O2" s="16" t="s">
        <v>47</v>
      </c>
      <c r="P2" s="16">
        <v>22</v>
      </c>
      <c r="Q2" s="16"/>
      <c r="R2" s="16">
        <v>0</v>
      </c>
      <c r="S2" s="15">
        <f>_xlfn.BINOM.DIST(R2,$P$2,$P$3,FALSE)</f>
        <v>3.1381059609000064E-12</v>
      </c>
    </row>
    <row r="3" spans="7:19" x14ac:dyDescent="0.25">
      <c r="G3" s="16" t="s">
        <v>44</v>
      </c>
      <c r="H3" s="16">
        <v>0.15</v>
      </c>
      <c r="I3" s="16"/>
      <c r="J3" s="16">
        <v>1</v>
      </c>
      <c r="K3" s="18">
        <f t="shared" ref="K3:K22" si="0">_xlfn.BINOM.DIST(J3,$H$2,$H$3,FALSE)</f>
        <v>2.6096882092296971E-3</v>
      </c>
      <c r="L3" s="18">
        <f t="shared" ref="L3:L22" si="1">_xlfn.BINOM.DIST(J3,$H$2,$H$3,TRUE)</f>
        <v>2.905452872942403E-3</v>
      </c>
      <c r="O3" s="16" t="s">
        <v>48</v>
      </c>
      <c r="P3" s="16">
        <v>0.7</v>
      </c>
      <c r="Q3" s="16"/>
      <c r="R3" s="16">
        <v>1</v>
      </c>
      <c r="S3" s="15">
        <f t="shared" ref="S3:S24" si="2">_xlfn.BINOM.DIST(R3,$P$2,$P$3,FALSE)</f>
        <v>1.6108943932620036E-10</v>
      </c>
    </row>
    <row r="4" spans="7:19" x14ac:dyDescent="0.25">
      <c r="G4" s="16"/>
      <c r="H4" s="16"/>
      <c r="I4" s="16"/>
      <c r="J4" s="16">
        <v>2</v>
      </c>
      <c r="K4" s="18">
        <f t="shared" si="0"/>
        <v>1.1283063728140171E-2</v>
      </c>
      <c r="L4" s="18">
        <f t="shared" si="1"/>
        <v>1.4188516601082592E-2</v>
      </c>
      <c r="O4" s="16"/>
      <c r="P4" s="16"/>
      <c r="Q4" s="16"/>
      <c r="R4" s="16">
        <v>2</v>
      </c>
      <c r="S4" s="15">
        <f t="shared" si="2"/>
        <v>3.946691263491921E-9</v>
      </c>
    </row>
    <row r="5" spans="7:19" x14ac:dyDescent="0.25">
      <c r="G5" s="16"/>
      <c r="H5" s="16"/>
      <c r="I5" s="16"/>
      <c r="J5" s="16">
        <v>3</v>
      </c>
      <c r="K5" s="18">
        <f t="shared" si="0"/>
        <v>3.1858062291219305E-2</v>
      </c>
      <c r="L5" s="18">
        <f t="shared" si="1"/>
        <v>4.6046578892301938E-2</v>
      </c>
      <c r="O5" s="16" t="s">
        <v>49</v>
      </c>
      <c r="P5" s="16">
        <f>P2*P3</f>
        <v>15.399999999999999</v>
      </c>
      <c r="Q5" s="16"/>
      <c r="R5" s="16">
        <v>3</v>
      </c>
      <c r="S5" s="15">
        <f t="shared" si="2"/>
        <v>6.1392975209874291E-8</v>
      </c>
    </row>
    <row r="6" spans="7:19" x14ac:dyDescent="0.25">
      <c r="G6" s="16"/>
      <c r="H6" s="16"/>
      <c r="I6" s="16"/>
      <c r="J6" s="16">
        <v>4</v>
      </c>
      <c r="K6" s="18">
        <f t="shared" si="0"/>
        <v>6.6058629162675353E-2</v>
      </c>
      <c r="L6" s="18">
        <f t="shared" si="1"/>
        <v>0.11210520805497745</v>
      </c>
      <c r="N6" t="s">
        <v>51</v>
      </c>
      <c r="O6" s="16" t="s">
        <v>50</v>
      </c>
      <c r="P6" s="16">
        <f>P2*P3*(1-P3)</f>
        <v>4.62</v>
      </c>
      <c r="Q6" s="16"/>
      <c r="R6" s="16">
        <v>4</v>
      </c>
      <c r="S6" s="15">
        <f t="shared" si="2"/>
        <v>6.8043880857610526E-7</v>
      </c>
    </row>
    <row r="7" spans="7:19" x14ac:dyDescent="0.25">
      <c r="G7" s="16"/>
      <c r="H7" s="16"/>
      <c r="I7" s="16"/>
      <c r="J7" s="16">
        <v>5</v>
      </c>
      <c r="K7" s="18">
        <f t="shared" si="0"/>
        <v>0.10724812734646116</v>
      </c>
      <c r="L7" s="18">
        <f t="shared" si="1"/>
        <v>0.21935333540143856</v>
      </c>
      <c r="O7" s="16"/>
      <c r="P7" s="16"/>
      <c r="Q7" s="16"/>
      <c r="R7" s="16">
        <v>5</v>
      </c>
      <c r="S7" s="15">
        <f t="shared" si="2"/>
        <v>5.715685992039289E-6</v>
      </c>
    </row>
    <row r="8" spans="7:19" x14ac:dyDescent="0.25">
      <c r="G8" s="16"/>
      <c r="H8" s="16"/>
      <c r="I8" s="16"/>
      <c r="J8" s="16">
        <v>6</v>
      </c>
      <c r="K8" s="18">
        <f t="shared" si="0"/>
        <v>0.14194605089972803</v>
      </c>
      <c r="L8" s="18">
        <f t="shared" si="1"/>
        <v>0.3612993863011667</v>
      </c>
      <c r="O8" s="16"/>
      <c r="P8" s="16"/>
      <c r="Q8" s="16"/>
      <c r="R8" s="16">
        <v>6</v>
      </c>
      <c r="S8" s="15">
        <f t="shared" si="2"/>
        <v>3.7787035169593057E-5</v>
      </c>
    </row>
    <row r="9" spans="7:19" x14ac:dyDescent="0.25">
      <c r="G9" s="16"/>
      <c r="H9" s="16"/>
      <c r="I9" s="16"/>
      <c r="J9" s="16">
        <v>7</v>
      </c>
      <c r="K9" s="18">
        <f t="shared" si="0"/>
        <v>0.1574527623425554</v>
      </c>
      <c r="L9" s="18">
        <f t="shared" si="1"/>
        <v>0.5187521486437221</v>
      </c>
      <c r="O9" s="16"/>
      <c r="P9" s="16"/>
      <c r="Q9" s="16"/>
      <c r="R9" s="16">
        <v>7</v>
      </c>
      <c r="S9" s="15">
        <f t="shared" si="2"/>
        <v>2.0153085423783005E-4</v>
      </c>
    </row>
    <row r="10" spans="7:19" x14ac:dyDescent="0.25">
      <c r="G10" s="16"/>
      <c r="H10" s="16"/>
      <c r="I10" s="16"/>
      <c r="J10" s="16">
        <v>8</v>
      </c>
      <c r="K10" s="18">
        <f t="shared" si="0"/>
        <v>0.1493485760455121</v>
      </c>
      <c r="L10" s="18">
        <f t="shared" si="1"/>
        <v>0.66810072468923387</v>
      </c>
      <c r="O10" s="16"/>
      <c r="P10" s="16"/>
      <c r="Q10" s="16"/>
      <c r="R10" s="16">
        <v>8</v>
      </c>
      <c r="S10" s="15">
        <f t="shared" si="2"/>
        <v>8.8169748729050588E-4</v>
      </c>
    </row>
    <row r="11" spans="7:19" x14ac:dyDescent="0.25">
      <c r="G11" s="16"/>
      <c r="H11" s="16"/>
      <c r="I11" s="16"/>
      <c r="J11" s="16">
        <v>9</v>
      </c>
      <c r="K11" s="18">
        <f t="shared" si="0"/>
        <v>0.12299294497865705</v>
      </c>
      <c r="L11" s="18">
        <f t="shared" si="1"/>
        <v>0.79109366966789119</v>
      </c>
      <c r="O11" s="16"/>
      <c r="P11" s="16"/>
      <c r="Q11" s="16"/>
      <c r="R11" s="16">
        <v>9</v>
      </c>
      <c r="S11" s="15">
        <f t="shared" si="2"/>
        <v>3.2002353242396035E-3</v>
      </c>
    </row>
    <row r="12" spans="7:19" x14ac:dyDescent="0.25">
      <c r="G12" s="16"/>
      <c r="H12" s="16"/>
      <c r="I12" s="16"/>
      <c r="J12" s="16">
        <v>10</v>
      </c>
      <c r="K12" s="18">
        <f t="shared" si="0"/>
        <v>8.8989013131616543E-2</v>
      </c>
      <c r="L12" s="18">
        <f t="shared" si="1"/>
        <v>0.88008268279950741</v>
      </c>
      <c r="O12" s="16"/>
      <c r="P12" s="16"/>
      <c r="Q12" s="16"/>
      <c r="R12" s="16">
        <v>10</v>
      </c>
      <c r="S12" s="15">
        <f t="shared" si="2"/>
        <v>9.7073804835267844E-3</v>
      </c>
    </row>
    <row r="13" spans="7:19" x14ac:dyDescent="0.25">
      <c r="G13" s="16"/>
      <c r="H13" s="16"/>
      <c r="I13" s="16"/>
      <c r="J13" s="16">
        <v>11</v>
      </c>
      <c r="K13" s="18">
        <f t="shared" si="0"/>
        <v>5.710524906841704E-2</v>
      </c>
      <c r="L13" s="18">
        <f t="shared" si="1"/>
        <v>0.93718793186792437</v>
      </c>
      <c r="O13" s="16"/>
      <c r="P13" s="16"/>
      <c r="Q13" s="16"/>
      <c r="R13" s="16">
        <v>11</v>
      </c>
      <c r="S13" s="15">
        <f t="shared" si="2"/>
        <v>2.4709695776250012E-2</v>
      </c>
    </row>
    <row r="14" spans="7:19" x14ac:dyDescent="0.25">
      <c r="G14" s="16"/>
      <c r="H14" s="16"/>
      <c r="I14" s="16"/>
      <c r="J14" s="16">
        <v>12</v>
      </c>
      <c r="K14" s="18">
        <f t="shared" si="0"/>
        <v>3.2751539906886208E-2</v>
      </c>
      <c r="L14" s="18">
        <f t="shared" si="1"/>
        <v>0.96993947177481066</v>
      </c>
      <c r="O14" s="16"/>
      <c r="P14" s="16"/>
      <c r="Q14" s="16"/>
      <c r="R14" s="16">
        <v>12</v>
      </c>
      <c r="S14" s="15">
        <f t="shared" si="2"/>
        <v>5.2851293743645861E-2</v>
      </c>
    </row>
    <row r="15" spans="7:19" x14ac:dyDescent="0.25">
      <c r="G15" s="16"/>
      <c r="H15" s="16"/>
      <c r="I15" s="16"/>
      <c r="J15" s="16">
        <v>13</v>
      </c>
      <c r="K15" s="18">
        <f t="shared" si="0"/>
        <v>1.6894459499479784E-2</v>
      </c>
      <c r="L15" s="18">
        <f t="shared" si="1"/>
        <v>0.98683393127429053</v>
      </c>
      <c r="O15" s="16"/>
      <c r="P15" s="16"/>
      <c r="Q15" s="16"/>
      <c r="R15" s="16">
        <v>13</v>
      </c>
      <c r="S15" s="15">
        <f t="shared" si="2"/>
        <v>9.4861296462954145E-2</v>
      </c>
    </row>
    <row r="16" spans="7:19" x14ac:dyDescent="0.25">
      <c r="G16" s="16"/>
      <c r="H16" s="16"/>
      <c r="I16" s="16"/>
      <c r="J16" s="16">
        <v>14</v>
      </c>
      <c r="K16" s="18">
        <f t="shared" si="0"/>
        <v>7.8793487581607386E-3</v>
      </c>
      <c r="L16" s="18">
        <f t="shared" si="1"/>
        <v>0.99471328003245119</v>
      </c>
      <c r="O16" s="16"/>
      <c r="P16" s="16"/>
      <c r="Q16" s="16"/>
      <c r="R16" s="16">
        <v>14</v>
      </c>
      <c r="S16" s="15">
        <f t="shared" si="2"/>
        <v>0.14229194469443121</v>
      </c>
    </row>
    <row r="17" spans="7:19" x14ac:dyDescent="0.25">
      <c r="G17" s="16"/>
      <c r="H17" s="16"/>
      <c r="I17" s="16"/>
      <c r="J17" s="16">
        <v>15</v>
      </c>
      <c r="K17" s="18">
        <f t="shared" si="0"/>
        <v>3.337135944632781E-3</v>
      </c>
      <c r="L17" s="18">
        <f t="shared" si="1"/>
        <v>0.99805041597708399</v>
      </c>
      <c r="O17" s="16"/>
      <c r="P17" s="16"/>
      <c r="Q17" s="16"/>
      <c r="R17" s="16">
        <v>15</v>
      </c>
      <c r="S17" s="15">
        <f t="shared" si="2"/>
        <v>0.17707442006418098</v>
      </c>
    </row>
    <row r="18" spans="7:19" x14ac:dyDescent="0.25">
      <c r="G18" s="16"/>
      <c r="H18" s="16"/>
      <c r="I18" s="16"/>
      <c r="J18" s="16">
        <v>16</v>
      </c>
      <c r="K18" s="18">
        <f t="shared" si="0"/>
        <v>1.2882326256854486E-3</v>
      </c>
      <c r="L18" s="18">
        <f t="shared" si="1"/>
        <v>0.99933864860276955</v>
      </c>
      <c r="O18" s="16"/>
      <c r="P18" s="16"/>
      <c r="Q18" s="16"/>
      <c r="R18" s="16">
        <v>16</v>
      </c>
      <c r="S18" s="15">
        <f t="shared" si="2"/>
        <v>0.18076347048218472</v>
      </c>
    </row>
    <row r="19" spans="7:19" x14ac:dyDescent="0.25">
      <c r="G19" s="16"/>
      <c r="H19" s="16"/>
      <c r="I19" s="16"/>
      <c r="J19" s="16">
        <v>17</v>
      </c>
      <c r="K19" s="18">
        <f t="shared" si="0"/>
        <v>4.5467033847721838E-4</v>
      </c>
      <c r="L19" s="18">
        <f t="shared" si="1"/>
        <v>0.99979331894124668</v>
      </c>
      <c r="O19" s="16"/>
      <c r="P19" s="16"/>
      <c r="Q19" s="16"/>
      <c r="R19" s="16">
        <v>17</v>
      </c>
      <c r="S19" s="15">
        <f t="shared" si="2"/>
        <v>0.14886403451474031</v>
      </c>
    </row>
    <row r="20" spans="7:19" x14ac:dyDescent="0.25">
      <c r="G20" s="16"/>
      <c r="H20" s="16"/>
      <c r="I20" s="16"/>
      <c r="J20" s="16">
        <v>18</v>
      </c>
      <c r="K20" s="18">
        <f t="shared" si="0"/>
        <v>1.4709922715439396E-4</v>
      </c>
      <c r="L20" s="18">
        <f t="shared" si="1"/>
        <v>0.99994041816840107</v>
      </c>
      <c r="O20" s="16"/>
      <c r="P20" s="16"/>
      <c r="Q20" s="16"/>
      <c r="R20" s="16">
        <v>18</v>
      </c>
      <c r="S20" s="15">
        <f t="shared" si="2"/>
        <v>9.6485948296590865E-2</v>
      </c>
    </row>
    <row r="21" spans="7:19" x14ac:dyDescent="0.25">
      <c r="G21" s="16"/>
      <c r="H21" s="16"/>
      <c r="I21" s="16"/>
      <c r="J21" s="16">
        <v>19</v>
      </c>
      <c r="K21" s="18">
        <f t="shared" si="0"/>
        <v>4.371989413876719E-5</v>
      </c>
      <c r="L21" s="18">
        <f t="shared" si="1"/>
        <v>0.99998413806253983</v>
      </c>
      <c r="O21" s="16"/>
      <c r="P21" s="16"/>
      <c r="Q21" s="16"/>
      <c r="R21" s="16">
        <v>19</v>
      </c>
      <c r="S21" s="15">
        <f t="shared" si="2"/>
        <v>4.7396606180781467E-2</v>
      </c>
    </row>
    <row r="22" spans="7:19" x14ac:dyDescent="0.25">
      <c r="G22" s="16"/>
      <c r="H22" s="16"/>
      <c r="I22" s="16"/>
      <c r="J22" s="16">
        <v>20</v>
      </c>
      <c r="K22" s="18">
        <f t="shared" si="0"/>
        <v>1.1958676926192239E-5</v>
      </c>
      <c r="L22" s="18">
        <f t="shared" si="1"/>
        <v>0.9999960967394661</v>
      </c>
      <c r="O22" s="16"/>
      <c r="P22" s="16"/>
      <c r="Q22" s="16"/>
      <c r="R22" s="16">
        <v>20</v>
      </c>
      <c r="S22" s="15">
        <f t="shared" si="2"/>
        <v>1.6588812163273507E-2</v>
      </c>
    </row>
    <row r="23" spans="7:19" x14ac:dyDescent="0.25">
      <c r="O23" s="16"/>
      <c r="P23" s="16"/>
      <c r="Q23" s="16"/>
      <c r="R23" s="16">
        <v>21</v>
      </c>
      <c r="S23" s="15">
        <f t="shared" si="2"/>
        <v>3.6864027029496669E-3</v>
      </c>
    </row>
    <row r="24" spans="7:19" x14ac:dyDescent="0.25">
      <c r="O24" s="16"/>
      <c r="P24" s="16"/>
      <c r="Q24" s="16"/>
      <c r="R24" s="16">
        <v>22</v>
      </c>
      <c r="S24" s="15">
        <f t="shared" si="2"/>
        <v>3.9098210485829821E-4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799031-CA66-46B5-AA42-45433ED48D4D}">
  <dimension ref="G2:L21"/>
  <sheetViews>
    <sheetView workbookViewId="0">
      <selection activeCell="H4" sqref="H4"/>
    </sheetView>
  </sheetViews>
  <sheetFormatPr defaultRowHeight="15" x14ac:dyDescent="0.25"/>
  <cols>
    <col min="11" max="11" width="15.7109375" customWidth="1"/>
    <col min="12" max="12" width="16.7109375" customWidth="1"/>
    <col min="15" max="15" width="15.5703125" customWidth="1"/>
    <col min="16" max="16" width="12" customWidth="1"/>
  </cols>
  <sheetData>
    <row r="2" spans="7:12" x14ac:dyDescent="0.25">
      <c r="G2" s="12" t="s">
        <v>4</v>
      </c>
      <c r="H2" s="12" t="s">
        <v>40</v>
      </c>
    </row>
    <row r="3" spans="7:12" ht="15.75" thickBot="1" x14ac:dyDescent="0.3">
      <c r="G3" s="12">
        <v>7</v>
      </c>
      <c r="H3" s="12">
        <f>(G3-$L$6)/$L$10</f>
        <v>-1.7978951447131168</v>
      </c>
    </row>
    <row r="4" spans="7:12" x14ac:dyDescent="0.25">
      <c r="G4" s="12">
        <v>10</v>
      </c>
      <c r="H4" s="12">
        <f t="shared" ref="H4:H18" si="0">(G4-$L$6)/$L$10</f>
        <v>-1.554799463174442</v>
      </c>
      <c r="K4" s="3" t="s">
        <v>41</v>
      </c>
      <c r="L4" s="3"/>
    </row>
    <row r="5" spans="7:12" x14ac:dyDescent="0.25">
      <c r="G5" s="12">
        <v>13</v>
      </c>
      <c r="H5" s="12">
        <f t="shared" si="0"/>
        <v>-1.3117037816357668</v>
      </c>
      <c r="K5" s="1"/>
      <c r="L5" s="1"/>
    </row>
    <row r="6" spans="7:12" x14ac:dyDescent="0.25">
      <c r="G6" s="12">
        <v>16</v>
      </c>
      <c r="H6" s="12">
        <f t="shared" si="0"/>
        <v>-1.068608100097092</v>
      </c>
      <c r="K6" s="1" t="s">
        <v>5</v>
      </c>
      <c r="L6" s="1">
        <v>29.1875</v>
      </c>
    </row>
    <row r="7" spans="7:12" x14ac:dyDescent="0.25">
      <c r="G7" s="12">
        <v>20</v>
      </c>
      <c r="H7" s="12">
        <f t="shared" si="0"/>
        <v>-0.74448052471219206</v>
      </c>
      <c r="K7" s="1" t="s">
        <v>6</v>
      </c>
      <c r="L7" s="1">
        <v>3.0852049499722596</v>
      </c>
    </row>
    <row r="8" spans="7:12" x14ac:dyDescent="0.25">
      <c r="G8" s="12">
        <v>29</v>
      </c>
      <c r="H8" s="12">
        <f t="shared" si="0"/>
        <v>-1.5193480096167184E-2</v>
      </c>
      <c r="K8" s="1" t="s">
        <v>7</v>
      </c>
      <c r="L8" s="1">
        <v>31.5</v>
      </c>
    </row>
    <row r="9" spans="7:12" x14ac:dyDescent="0.25">
      <c r="G9" s="12">
        <v>29</v>
      </c>
      <c r="H9" s="12">
        <f t="shared" si="0"/>
        <v>-1.5193480096167184E-2</v>
      </c>
      <c r="K9" s="1" t="s">
        <v>8</v>
      </c>
      <c r="L9" s="1">
        <v>29</v>
      </c>
    </row>
    <row r="10" spans="7:12" x14ac:dyDescent="0.25">
      <c r="G10" s="12">
        <v>29</v>
      </c>
      <c r="H10" s="12">
        <f t="shared" si="0"/>
        <v>-1.5193480096167184E-2</v>
      </c>
      <c r="K10" s="1" t="s">
        <v>9</v>
      </c>
      <c r="L10" s="1">
        <v>12.340819799889038</v>
      </c>
    </row>
    <row r="11" spans="7:12" x14ac:dyDescent="0.25">
      <c r="G11" s="12">
        <v>34</v>
      </c>
      <c r="H11" s="12">
        <f t="shared" si="0"/>
        <v>0.38996598913495772</v>
      </c>
      <c r="K11" s="1" t="s">
        <v>10</v>
      </c>
      <c r="L11" s="1">
        <v>152.29583333333332</v>
      </c>
    </row>
    <row r="12" spans="7:12" x14ac:dyDescent="0.25">
      <c r="G12" s="12">
        <v>37</v>
      </c>
      <c r="H12" s="12">
        <f t="shared" si="0"/>
        <v>0.63306167067363273</v>
      </c>
      <c r="K12" s="1" t="s">
        <v>11</v>
      </c>
      <c r="L12" s="1">
        <v>-0.99342445243512323</v>
      </c>
    </row>
    <row r="13" spans="7:12" x14ac:dyDescent="0.25">
      <c r="G13" s="12">
        <v>37</v>
      </c>
      <c r="H13" s="12">
        <f t="shared" si="0"/>
        <v>0.63306167067363273</v>
      </c>
      <c r="K13" s="1" t="s">
        <v>12</v>
      </c>
      <c r="L13" s="1">
        <v>-0.57419272758875128</v>
      </c>
    </row>
    <row r="14" spans="7:12" x14ac:dyDescent="0.25">
      <c r="G14" s="12">
        <v>38</v>
      </c>
      <c r="H14" s="12">
        <f t="shared" si="0"/>
        <v>0.71409356451985762</v>
      </c>
      <c r="K14" s="1" t="s">
        <v>13</v>
      </c>
      <c r="L14" s="1">
        <v>39</v>
      </c>
    </row>
    <row r="15" spans="7:12" x14ac:dyDescent="0.25">
      <c r="G15" s="12">
        <v>40</v>
      </c>
      <c r="H15" s="12">
        <f t="shared" si="0"/>
        <v>0.87615735221230762</v>
      </c>
      <c r="K15" s="1" t="s">
        <v>14</v>
      </c>
      <c r="L15" s="1">
        <v>7</v>
      </c>
    </row>
    <row r="16" spans="7:12" x14ac:dyDescent="0.25">
      <c r="G16" s="12">
        <v>40</v>
      </c>
      <c r="H16" s="12">
        <f t="shared" si="0"/>
        <v>0.87615735221230762</v>
      </c>
      <c r="K16" s="1" t="s">
        <v>15</v>
      </c>
      <c r="L16" s="1">
        <v>46</v>
      </c>
    </row>
    <row r="17" spans="7:12" x14ac:dyDescent="0.25">
      <c r="G17" s="12">
        <v>42</v>
      </c>
      <c r="H17" s="12">
        <f t="shared" si="0"/>
        <v>1.0382211399047576</v>
      </c>
      <c r="K17" s="1" t="s">
        <v>16</v>
      </c>
      <c r="L17" s="1">
        <v>467</v>
      </c>
    </row>
    <row r="18" spans="7:12" ht="15.75" thickBot="1" x14ac:dyDescent="0.3">
      <c r="G18" s="12">
        <v>46</v>
      </c>
      <c r="H18" s="12">
        <f t="shared" si="0"/>
        <v>1.3623487152896576</v>
      </c>
      <c r="K18" s="2" t="s">
        <v>17</v>
      </c>
      <c r="L18" s="2">
        <v>16</v>
      </c>
    </row>
    <row r="19" spans="7:12" x14ac:dyDescent="0.25">
      <c r="L19">
        <v>0</v>
      </c>
    </row>
    <row r="20" spans="7:12" x14ac:dyDescent="0.25">
      <c r="G20" t="s">
        <v>2</v>
      </c>
      <c r="H20" s="12">
        <f>AVERAGE(H3:H18)</f>
        <v>0</v>
      </c>
    </row>
    <row r="21" spans="7:12" x14ac:dyDescent="0.25">
      <c r="G21" t="s">
        <v>3</v>
      </c>
      <c r="H21" s="12">
        <f>_xlfn.STDEV.S(H3:H18)</f>
        <v>1</v>
      </c>
    </row>
  </sheetData>
  <sortState xmlns:xlrd2="http://schemas.microsoft.com/office/spreadsheetml/2017/richdata2" ref="G3:G18">
    <sortCondition ref="G3"/>
  </sortState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5A2E1A-7E5D-4534-A6D5-3BC5E7D19D52}">
  <dimension ref="D2:I28"/>
  <sheetViews>
    <sheetView workbookViewId="0">
      <selection activeCell="E7" sqref="E7"/>
    </sheetView>
  </sheetViews>
  <sheetFormatPr defaultRowHeight="15" x14ac:dyDescent="0.25"/>
  <cols>
    <col min="6" max="6" width="10.5703125" bestFit="1" customWidth="1"/>
  </cols>
  <sheetData>
    <row r="2" spans="4:9" x14ac:dyDescent="0.25">
      <c r="D2" t="s">
        <v>52</v>
      </c>
      <c r="E2" t="s">
        <v>54</v>
      </c>
      <c r="F2" t="s">
        <v>55</v>
      </c>
      <c r="H2" t="s">
        <v>53</v>
      </c>
      <c r="I2">
        <v>5</v>
      </c>
    </row>
    <row r="3" spans="4:9" x14ac:dyDescent="0.25">
      <c r="D3">
        <v>0</v>
      </c>
      <c r="E3" s="19">
        <f>_xlfn.POISSON.DIST(D3,$I$2,FALSE)</f>
        <v>6.737946999085467E-3</v>
      </c>
      <c r="F3" s="20">
        <f>_xlfn.POISSON.DIST(D3,$I$2,TRUE)</f>
        <v>6.737946999085467E-3</v>
      </c>
    </row>
    <row r="4" spans="4:9" x14ac:dyDescent="0.25">
      <c r="D4">
        <v>1</v>
      </c>
      <c r="E4" s="19">
        <f t="shared" ref="E4:E23" si="0">_xlfn.POISSON.DIST(D4,$I$2,FALSE)</f>
        <v>3.368973499542733E-2</v>
      </c>
      <c r="F4" s="20">
        <f t="shared" ref="F4:F23" si="1">_xlfn.POISSON.DIST(D4,$I$2,TRUE)</f>
        <v>4.0427681994512799E-2</v>
      </c>
    </row>
    <row r="5" spans="4:9" x14ac:dyDescent="0.25">
      <c r="D5">
        <v>2</v>
      </c>
      <c r="E5" s="19">
        <f t="shared" si="0"/>
        <v>8.4224337488568335E-2</v>
      </c>
      <c r="F5" s="20">
        <f t="shared" si="1"/>
        <v>0.12465201948308113</v>
      </c>
    </row>
    <row r="6" spans="4:9" x14ac:dyDescent="0.25">
      <c r="D6">
        <v>3</v>
      </c>
      <c r="E6" s="19">
        <f t="shared" si="0"/>
        <v>0.14037389581428059</v>
      </c>
      <c r="F6" s="20">
        <f t="shared" si="1"/>
        <v>0.26502591529736169</v>
      </c>
    </row>
    <row r="7" spans="4:9" x14ac:dyDescent="0.25">
      <c r="D7">
        <v>4</v>
      </c>
      <c r="E7" s="19">
        <f t="shared" si="0"/>
        <v>0.17546736976785074</v>
      </c>
      <c r="F7" s="20">
        <f t="shared" si="1"/>
        <v>0.44049328506521235</v>
      </c>
    </row>
    <row r="8" spans="4:9" x14ac:dyDescent="0.25">
      <c r="D8">
        <v>5</v>
      </c>
      <c r="E8" s="19">
        <f t="shared" si="0"/>
        <v>0.17546736976785071</v>
      </c>
      <c r="F8" s="20">
        <f t="shared" si="1"/>
        <v>0.61596065483306306</v>
      </c>
    </row>
    <row r="9" spans="4:9" x14ac:dyDescent="0.25">
      <c r="D9">
        <v>6</v>
      </c>
      <c r="E9" s="19">
        <f t="shared" si="0"/>
        <v>0.14622280813987559</v>
      </c>
      <c r="F9" s="20">
        <f t="shared" si="1"/>
        <v>0.7621834629729386</v>
      </c>
    </row>
    <row r="10" spans="4:9" x14ac:dyDescent="0.25">
      <c r="D10">
        <v>7</v>
      </c>
      <c r="E10" s="19">
        <f t="shared" si="0"/>
        <v>0.104444862957054</v>
      </c>
      <c r="F10" s="20">
        <f t="shared" si="1"/>
        <v>0.86662832592999273</v>
      </c>
    </row>
    <row r="11" spans="4:9" x14ac:dyDescent="0.25">
      <c r="D11">
        <v>8</v>
      </c>
      <c r="E11" s="19">
        <f t="shared" si="0"/>
        <v>6.5278039348158706E-2</v>
      </c>
      <c r="F11" s="20">
        <f t="shared" si="1"/>
        <v>0.93190636527815141</v>
      </c>
    </row>
    <row r="12" spans="4:9" x14ac:dyDescent="0.25">
      <c r="D12">
        <v>9</v>
      </c>
      <c r="E12" s="19">
        <f t="shared" si="0"/>
        <v>3.6265577415643749E-2</v>
      </c>
      <c r="F12" s="20">
        <f t="shared" si="1"/>
        <v>0.96817194269379514</v>
      </c>
    </row>
    <row r="13" spans="4:9" x14ac:dyDescent="0.25">
      <c r="D13">
        <v>10</v>
      </c>
      <c r="E13" s="19">
        <f t="shared" si="0"/>
        <v>1.8132788707821874E-2</v>
      </c>
      <c r="F13" s="20">
        <f t="shared" si="1"/>
        <v>0.98630473140161712</v>
      </c>
    </row>
    <row r="14" spans="4:9" x14ac:dyDescent="0.25">
      <c r="D14">
        <v>11</v>
      </c>
      <c r="E14" s="19">
        <f t="shared" si="0"/>
        <v>8.2421766853735742E-3</v>
      </c>
      <c r="F14" s="20">
        <f t="shared" si="1"/>
        <v>0.99454690808699064</v>
      </c>
    </row>
    <row r="15" spans="4:9" x14ac:dyDescent="0.25">
      <c r="D15">
        <v>12</v>
      </c>
      <c r="E15" s="19">
        <f t="shared" si="0"/>
        <v>3.4342402855723282E-3</v>
      </c>
      <c r="F15" s="20">
        <f t="shared" si="1"/>
        <v>0.99798114837256291</v>
      </c>
    </row>
    <row r="16" spans="4:9" x14ac:dyDescent="0.25">
      <c r="D16">
        <v>13</v>
      </c>
      <c r="E16" s="19">
        <f t="shared" si="0"/>
        <v>1.3208616482970471E-3</v>
      </c>
      <c r="F16" s="20">
        <f t="shared" si="1"/>
        <v>0.99930201002086005</v>
      </c>
    </row>
    <row r="17" spans="4:6" x14ac:dyDescent="0.25">
      <c r="D17">
        <v>14</v>
      </c>
      <c r="E17" s="19">
        <f t="shared" si="0"/>
        <v>4.7173630296323246E-4</v>
      </c>
      <c r="F17" s="20">
        <f t="shared" si="1"/>
        <v>0.99977374632382321</v>
      </c>
    </row>
    <row r="18" spans="4:6" x14ac:dyDescent="0.25">
      <c r="D18">
        <v>15</v>
      </c>
      <c r="E18" s="19">
        <f t="shared" si="0"/>
        <v>1.5724543432107704E-4</v>
      </c>
      <c r="F18" s="20">
        <f t="shared" si="1"/>
        <v>0.99993099175814426</v>
      </c>
    </row>
    <row r="19" spans="4:6" x14ac:dyDescent="0.25">
      <c r="D19">
        <v>16</v>
      </c>
      <c r="E19" s="19">
        <f t="shared" si="0"/>
        <v>4.9139198225336609E-5</v>
      </c>
      <c r="F19" s="20">
        <f t="shared" si="1"/>
        <v>0.99998013095636962</v>
      </c>
    </row>
    <row r="20" spans="4:6" x14ac:dyDescent="0.25">
      <c r="D20">
        <v>17</v>
      </c>
      <c r="E20" s="19">
        <f t="shared" si="0"/>
        <v>1.4452705360393124E-5</v>
      </c>
      <c r="F20" s="20">
        <f t="shared" si="1"/>
        <v>0.99999458366173011</v>
      </c>
    </row>
    <row r="21" spans="4:6" x14ac:dyDescent="0.25">
      <c r="D21">
        <v>18</v>
      </c>
      <c r="E21" s="19">
        <f t="shared" si="0"/>
        <v>4.0146403778869831E-6</v>
      </c>
      <c r="F21" s="20">
        <f t="shared" si="1"/>
        <v>0.99999859830210791</v>
      </c>
    </row>
    <row r="22" spans="4:6" x14ac:dyDescent="0.25">
      <c r="D22">
        <v>19</v>
      </c>
      <c r="E22" s="19">
        <f t="shared" si="0"/>
        <v>1.0564843099702586E-6</v>
      </c>
      <c r="F22" s="20">
        <f t="shared" si="1"/>
        <v>0.99999965478641784</v>
      </c>
    </row>
    <row r="23" spans="4:6" x14ac:dyDescent="0.25">
      <c r="D23">
        <v>20</v>
      </c>
      <c r="E23" s="19">
        <f t="shared" si="0"/>
        <v>2.6412107749256427E-7</v>
      </c>
      <c r="F23" s="20">
        <f t="shared" si="1"/>
        <v>0.9999999189074954</v>
      </c>
    </row>
    <row r="26" spans="4:6" x14ac:dyDescent="0.25">
      <c r="E26" t="s">
        <v>2</v>
      </c>
      <c r="F26">
        <v>5</v>
      </c>
    </row>
    <row r="27" spans="4:6" x14ac:dyDescent="0.25">
      <c r="E27" t="s">
        <v>26</v>
      </c>
      <c r="F27">
        <v>5</v>
      </c>
    </row>
    <row r="28" spans="4:6" x14ac:dyDescent="0.25">
      <c r="E28" t="s">
        <v>3</v>
      </c>
      <c r="F28">
        <f>SQRT(5)</f>
        <v>2.2360679774997898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41B6C9-A738-4440-9AAE-C78BACE3257A}">
  <dimension ref="E2:R18"/>
  <sheetViews>
    <sheetView workbookViewId="0">
      <selection activeCell="R16" sqref="R16"/>
    </sheetView>
  </sheetViews>
  <sheetFormatPr defaultRowHeight="15" x14ac:dyDescent="0.25"/>
  <cols>
    <col min="10" max="10" width="11.140625" customWidth="1"/>
  </cols>
  <sheetData>
    <row r="2" spans="5:18" ht="15.75" thickBot="1" x14ac:dyDescent="0.3"/>
    <row r="3" spans="5:18" x14ac:dyDescent="0.25">
      <c r="E3" s="33"/>
      <c r="F3" s="34"/>
      <c r="G3" s="34"/>
      <c r="H3" s="34"/>
      <c r="I3" s="34"/>
      <c r="J3" s="34"/>
      <c r="K3" s="34"/>
      <c r="L3" s="35"/>
      <c r="O3" s="227" t="s">
        <v>62</v>
      </c>
      <c r="P3" s="228"/>
      <c r="Q3" s="229" t="s">
        <v>63</v>
      </c>
      <c r="R3" s="230"/>
    </row>
    <row r="4" spans="5:18" x14ac:dyDescent="0.25">
      <c r="E4" s="29"/>
      <c r="F4" s="30"/>
      <c r="G4" s="30">
        <v>13</v>
      </c>
      <c r="H4" s="30">
        <f>(G4-$F$14)/$F$15</f>
        <v>-1</v>
      </c>
      <c r="I4" s="30"/>
      <c r="J4" s="30"/>
      <c r="K4" s="232" t="s">
        <v>68</v>
      </c>
      <c r="L4" s="233"/>
      <c r="O4" s="29" t="s">
        <v>72</v>
      </c>
      <c r="P4" s="30">
        <v>18</v>
      </c>
      <c r="Q4" s="30" t="s">
        <v>74</v>
      </c>
      <c r="R4" s="31">
        <v>5</v>
      </c>
    </row>
    <row r="5" spans="5:18" x14ac:dyDescent="0.25">
      <c r="E5" s="29"/>
      <c r="F5" s="30"/>
      <c r="G5" s="30">
        <v>13</v>
      </c>
      <c r="H5" s="30">
        <f t="shared" ref="H5:H8" si="0">(G5-$F$14)/$F$15</f>
        <v>-1</v>
      </c>
      <c r="I5" s="30"/>
      <c r="J5" s="36" t="s">
        <v>69</v>
      </c>
      <c r="K5" s="36">
        <f>_xlfn.NORM.DIST(F17,$F$14,$F$15,TRUE)</f>
        <v>0.54775842602058389</v>
      </c>
      <c r="L5" s="31" t="b">
        <v>1</v>
      </c>
      <c r="O5" s="29"/>
      <c r="P5" s="30" t="s">
        <v>18</v>
      </c>
      <c r="Q5" s="232"/>
      <c r="R5" s="233"/>
    </row>
    <row r="6" spans="5:18" x14ac:dyDescent="0.25">
      <c r="E6" s="29"/>
      <c r="F6" s="30"/>
      <c r="G6" s="30">
        <v>18</v>
      </c>
      <c r="H6" s="30">
        <f t="shared" si="0"/>
        <v>0</v>
      </c>
      <c r="I6" s="30"/>
      <c r="J6" s="36" t="s">
        <v>70</v>
      </c>
      <c r="K6" s="36">
        <f>1-K5</f>
        <v>0.45224157397941611</v>
      </c>
      <c r="L6" s="31" t="b">
        <v>1</v>
      </c>
      <c r="O6" s="29">
        <v>17.399999999999999</v>
      </c>
      <c r="P6" s="36">
        <f>(O6-P4)/R4</f>
        <v>-0.12000000000000029</v>
      </c>
      <c r="Q6" s="232" t="s">
        <v>68</v>
      </c>
      <c r="R6" s="233"/>
    </row>
    <row r="7" spans="5:18" ht="15.75" thickBot="1" x14ac:dyDescent="0.3">
      <c r="E7" s="29"/>
      <c r="F7" s="30"/>
      <c r="G7" s="30">
        <v>23</v>
      </c>
      <c r="H7" s="30">
        <f t="shared" si="0"/>
        <v>1</v>
      </c>
      <c r="I7" s="30"/>
      <c r="J7" s="39" t="s">
        <v>71</v>
      </c>
      <c r="K7" s="39">
        <f>_xlfn.NORM.DIST(F17,$F$14,$F$15,FALSE)</f>
        <v>7.9216042358731212E-2</v>
      </c>
      <c r="L7" s="40" t="b">
        <v>0</v>
      </c>
      <c r="O7" s="221" t="s">
        <v>61</v>
      </c>
      <c r="P7" s="222"/>
      <c r="Q7" s="223"/>
      <c r="R7" s="45">
        <f>_xlfn.NORM.DIST(O6,P4,R4,TRUE)</f>
        <v>0.45224157397941606</v>
      </c>
    </row>
    <row r="8" spans="5:18" x14ac:dyDescent="0.25">
      <c r="E8" s="29"/>
      <c r="F8" s="30"/>
      <c r="G8" s="30">
        <v>23</v>
      </c>
      <c r="H8" s="30">
        <f t="shared" si="0"/>
        <v>1</v>
      </c>
      <c r="I8" s="30"/>
      <c r="J8" s="30"/>
      <c r="K8" s="30"/>
      <c r="L8" s="31"/>
    </row>
    <row r="9" spans="5:18" ht="15.75" thickBot="1" x14ac:dyDescent="0.3">
      <c r="E9" s="29"/>
      <c r="F9" s="30"/>
      <c r="G9" s="30"/>
      <c r="H9" s="30"/>
      <c r="I9" s="30"/>
      <c r="J9" s="30"/>
      <c r="K9" s="30"/>
      <c r="L9" s="31"/>
    </row>
    <row r="10" spans="5:18" x14ac:dyDescent="0.25">
      <c r="E10" s="29"/>
      <c r="F10" s="30"/>
      <c r="G10" s="30"/>
      <c r="H10" s="30">
        <f>AVERAGE(H4:H8)</f>
        <v>0</v>
      </c>
      <c r="I10" s="30"/>
      <c r="J10" s="30"/>
      <c r="K10" s="30"/>
      <c r="L10" s="31"/>
      <c r="O10" s="33" t="s">
        <v>64</v>
      </c>
      <c r="P10" s="34"/>
      <c r="Q10" s="34" t="s">
        <v>18</v>
      </c>
      <c r="R10" s="24" t="s">
        <v>75</v>
      </c>
    </row>
    <row r="11" spans="5:18" x14ac:dyDescent="0.25">
      <c r="E11" s="29"/>
      <c r="F11" s="30"/>
      <c r="G11" s="30"/>
      <c r="H11" s="30">
        <f>_xlfn.STDEV.S(H4:H8)</f>
        <v>1</v>
      </c>
      <c r="I11" s="30"/>
      <c r="J11" s="30"/>
      <c r="K11" s="30"/>
      <c r="L11" s="31"/>
      <c r="O11" s="231" t="s">
        <v>73</v>
      </c>
      <c r="P11" s="232"/>
      <c r="Q11" s="30">
        <v>-0.84</v>
      </c>
      <c r="R11" s="26">
        <v>0.20050000000000001</v>
      </c>
    </row>
    <row r="12" spans="5:18" x14ac:dyDescent="0.25">
      <c r="E12" s="29"/>
      <c r="F12" s="30"/>
      <c r="G12" s="30"/>
      <c r="H12" s="30"/>
      <c r="I12" s="30"/>
      <c r="J12" s="30"/>
      <c r="K12" s="30"/>
      <c r="L12" s="31"/>
      <c r="O12" s="29" t="s">
        <v>72</v>
      </c>
      <c r="P12" s="30">
        <v>18</v>
      </c>
      <c r="Q12" s="30" t="s">
        <v>74</v>
      </c>
      <c r="R12" s="31">
        <v>5</v>
      </c>
    </row>
    <row r="13" spans="5:18" x14ac:dyDescent="0.25">
      <c r="E13" s="29"/>
      <c r="F13" s="30"/>
      <c r="G13" s="30"/>
      <c r="H13" s="30"/>
      <c r="I13" s="30"/>
      <c r="J13" s="30"/>
      <c r="K13" s="30"/>
      <c r="L13" s="31"/>
      <c r="O13" s="231" t="s">
        <v>66</v>
      </c>
      <c r="P13" s="232"/>
      <c r="Q13" s="30"/>
      <c r="R13" s="26"/>
    </row>
    <row r="14" spans="5:18" x14ac:dyDescent="0.25">
      <c r="E14" s="29" t="s">
        <v>2</v>
      </c>
      <c r="F14" s="30">
        <f>AVERAGE(G4:G8)</f>
        <v>18</v>
      </c>
      <c r="G14" s="30"/>
      <c r="H14" s="30" t="s">
        <v>18</v>
      </c>
      <c r="I14" s="36">
        <f>(F17-F14)/F15</f>
        <v>0.12000000000000029</v>
      </c>
      <c r="J14" s="30"/>
      <c r="K14" s="30"/>
      <c r="L14" s="31"/>
      <c r="O14" s="231" t="s">
        <v>65</v>
      </c>
      <c r="P14" s="232"/>
      <c r="Q14" s="30"/>
      <c r="R14" s="26"/>
    </row>
    <row r="15" spans="5:18" x14ac:dyDescent="0.25">
      <c r="E15" s="29" t="s">
        <v>3</v>
      </c>
      <c r="F15" s="30">
        <f>_xlfn.STDEV.S(G4:G8)</f>
        <v>5</v>
      </c>
      <c r="G15" s="30"/>
      <c r="H15" s="220" t="s">
        <v>56</v>
      </c>
      <c r="I15" s="220"/>
      <c r="J15" s="220"/>
      <c r="K15" s="30"/>
      <c r="L15" s="31"/>
      <c r="O15" s="29"/>
      <c r="P15" s="30"/>
      <c r="Q15" s="232" t="s">
        <v>68</v>
      </c>
      <c r="R15" s="233"/>
    </row>
    <row r="16" spans="5:18" ht="15.75" thickBot="1" x14ac:dyDescent="0.3">
      <c r="E16" s="29"/>
      <c r="F16" s="30"/>
      <c r="G16" s="30"/>
      <c r="H16" s="30"/>
      <c r="I16" s="30"/>
      <c r="J16" s="30"/>
      <c r="K16" s="30"/>
      <c r="L16" s="31"/>
      <c r="O16" s="42" t="s">
        <v>4</v>
      </c>
      <c r="P16" s="43">
        <f>P12+(Q11*R12)</f>
        <v>13.8</v>
      </c>
      <c r="Q16" s="38"/>
      <c r="R16" s="44">
        <f>_xlfn.NORM.INV(R11,P12,R12)</f>
        <v>13.800816918275785</v>
      </c>
    </row>
    <row r="17" spans="5:12" x14ac:dyDescent="0.25">
      <c r="E17" s="29" t="s">
        <v>4</v>
      </c>
      <c r="F17" s="30">
        <v>18.600000000000001</v>
      </c>
      <c r="G17" s="30"/>
      <c r="H17" s="220" t="s">
        <v>59</v>
      </c>
      <c r="I17" s="220"/>
      <c r="J17" s="220"/>
      <c r="K17" s="220"/>
      <c r="L17" s="224"/>
    </row>
    <row r="18" spans="5:12" ht="15.75" thickBot="1" x14ac:dyDescent="0.3">
      <c r="E18" s="37"/>
      <c r="F18" s="38"/>
      <c r="G18" s="38"/>
      <c r="H18" s="225" t="s">
        <v>60</v>
      </c>
      <c r="I18" s="225"/>
      <c r="J18" s="225"/>
      <c r="K18" s="225"/>
      <c r="L18" s="226"/>
    </row>
  </sheetData>
  <sortState xmlns:xlrd2="http://schemas.microsoft.com/office/spreadsheetml/2017/richdata2" ref="G4:H8">
    <sortCondition ref="G4"/>
  </sortState>
  <mergeCells count="13">
    <mergeCell ref="H15:J15"/>
    <mergeCell ref="O7:Q7"/>
    <mergeCell ref="H17:L17"/>
    <mergeCell ref="H18:L18"/>
    <mergeCell ref="O3:P3"/>
    <mergeCell ref="Q3:R3"/>
    <mergeCell ref="O13:P13"/>
    <mergeCell ref="O14:P14"/>
    <mergeCell ref="K4:L4"/>
    <mergeCell ref="O11:P11"/>
    <mergeCell ref="Q15:R15"/>
    <mergeCell ref="Q5:R5"/>
    <mergeCell ref="Q6:R6"/>
  </mergeCells>
  <pageMargins left="0.7" right="0.7" top="0.75" bottom="0.75" header="0.3" footer="0.3"/>
  <pageSetup paperSize="9"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973798-0025-48CC-A211-02BF600E763B}">
  <dimension ref="D2:Q16"/>
  <sheetViews>
    <sheetView workbookViewId="0">
      <selection activeCell="H11" sqref="H11"/>
    </sheetView>
  </sheetViews>
  <sheetFormatPr defaultRowHeight="15" x14ac:dyDescent="0.25"/>
  <sheetData>
    <row r="2" spans="4:17" ht="15.75" thickBot="1" x14ac:dyDescent="0.3"/>
    <row r="3" spans="4:17" x14ac:dyDescent="0.25">
      <c r="D3" s="22"/>
      <c r="E3" s="23"/>
      <c r="F3" s="23"/>
      <c r="G3" s="23"/>
      <c r="H3" s="23"/>
      <c r="I3" s="23"/>
      <c r="J3" s="23"/>
      <c r="K3" s="23"/>
      <c r="L3" s="23"/>
      <c r="M3" s="23"/>
      <c r="N3" s="23"/>
      <c r="O3" s="23"/>
      <c r="P3" s="23"/>
      <c r="Q3" s="24"/>
    </row>
    <row r="4" spans="4:17" x14ac:dyDescent="0.25">
      <c r="D4" s="25"/>
      <c r="E4" s="21"/>
      <c r="F4" s="21"/>
      <c r="G4" s="21"/>
      <c r="H4" s="21"/>
      <c r="I4" s="21"/>
      <c r="J4" s="21"/>
      <c r="K4" s="21"/>
      <c r="L4" s="95" t="s">
        <v>18</v>
      </c>
      <c r="M4" s="220" t="s">
        <v>76</v>
      </c>
      <c r="N4" s="220"/>
      <c r="O4" s="21"/>
      <c r="P4" s="220" t="s">
        <v>68</v>
      </c>
      <c r="Q4" s="224"/>
    </row>
    <row r="5" spans="4:17" x14ac:dyDescent="0.25">
      <c r="D5" s="231" t="s">
        <v>57</v>
      </c>
      <c r="E5" s="232"/>
      <c r="F5" s="30" t="s">
        <v>2</v>
      </c>
      <c r="G5" s="30">
        <v>900</v>
      </c>
      <c r="H5" s="30"/>
      <c r="I5" s="30"/>
      <c r="J5" s="30"/>
      <c r="K5" s="30">
        <v>1200</v>
      </c>
      <c r="L5" s="36">
        <f>(K5-$G$5)/$G$6</f>
        <v>1.5</v>
      </c>
      <c r="M5" s="32">
        <v>93.32</v>
      </c>
      <c r="N5" s="21"/>
      <c r="O5" s="21"/>
      <c r="P5" s="32">
        <f>_xlfn.NORM.DIST(K5,$G$5,$G$6,TRUE)</f>
        <v>0.93319279873114191</v>
      </c>
      <c r="Q5" s="26"/>
    </row>
    <row r="6" spans="4:17" x14ac:dyDescent="0.25">
      <c r="D6" s="25"/>
      <c r="E6" s="21"/>
      <c r="F6" s="30" t="s">
        <v>3</v>
      </c>
      <c r="G6" s="30">
        <v>200</v>
      </c>
      <c r="H6" s="30"/>
      <c r="I6" s="30"/>
      <c r="J6" s="30"/>
      <c r="K6" s="30">
        <v>600</v>
      </c>
      <c r="L6" s="36">
        <f>(K6-$G$5)/$G$6</f>
        <v>-1.5</v>
      </c>
      <c r="M6" s="32">
        <v>6.68</v>
      </c>
      <c r="N6" s="21"/>
      <c r="O6" s="21"/>
      <c r="P6" s="32">
        <f>_xlfn.NORM.DIST(K6,$G$5,$G$6,TRUE)</f>
        <v>6.6807201268858057E-2</v>
      </c>
      <c r="Q6" s="26"/>
    </row>
    <row r="7" spans="4:17" x14ac:dyDescent="0.25">
      <c r="D7" s="25"/>
      <c r="E7" s="21"/>
      <c r="F7" s="21"/>
      <c r="G7" s="21"/>
      <c r="H7" s="21"/>
      <c r="I7" s="21"/>
      <c r="J7" s="21"/>
      <c r="K7" s="21"/>
      <c r="L7" s="21"/>
      <c r="M7" s="32">
        <f>M5-M6</f>
        <v>86.639999999999986</v>
      </c>
      <c r="N7" s="21"/>
      <c r="O7" s="21"/>
      <c r="P7" s="32">
        <f>P5-P6</f>
        <v>0.86638559746228383</v>
      </c>
      <c r="Q7" s="26"/>
    </row>
    <row r="8" spans="4:17" ht="15.75" thickBot="1" x14ac:dyDescent="0.3">
      <c r="D8" s="234" t="s">
        <v>58</v>
      </c>
      <c r="E8" s="235"/>
      <c r="F8" s="235"/>
      <c r="G8" s="235"/>
      <c r="H8" s="235"/>
      <c r="I8" s="235"/>
      <c r="J8" s="46">
        <v>86.64</v>
      </c>
      <c r="K8" s="27"/>
      <c r="L8" s="27"/>
      <c r="M8" s="27"/>
      <c r="N8" s="27"/>
      <c r="O8" s="27"/>
      <c r="P8" s="27"/>
      <c r="Q8" s="28"/>
    </row>
    <row r="9" spans="4:17" ht="15.75" thickBot="1" x14ac:dyDescent="0.3">
      <c r="D9" s="21"/>
      <c r="E9" s="21"/>
      <c r="F9" s="21"/>
      <c r="G9" s="21"/>
      <c r="H9" s="21"/>
      <c r="I9" s="21"/>
      <c r="J9" s="21"/>
      <c r="K9" s="21"/>
      <c r="L9" s="21"/>
      <c r="M9" s="21"/>
      <c r="N9" s="21"/>
    </row>
    <row r="10" spans="4:17" x14ac:dyDescent="0.25">
      <c r="D10" s="227" t="s">
        <v>67</v>
      </c>
      <c r="E10" s="228"/>
      <c r="F10" s="228"/>
      <c r="G10" s="34" t="s">
        <v>18</v>
      </c>
      <c r="H10" s="35" t="s">
        <v>38</v>
      </c>
      <c r="I10" s="21"/>
      <c r="J10" s="21"/>
      <c r="K10" s="21"/>
      <c r="L10" s="21"/>
      <c r="M10" s="21"/>
      <c r="N10" s="21"/>
    </row>
    <row r="11" spans="4:17" x14ac:dyDescent="0.25">
      <c r="D11" s="231" t="s">
        <v>77</v>
      </c>
      <c r="E11" s="232"/>
      <c r="F11" s="232"/>
      <c r="G11" s="30">
        <v>-1.88</v>
      </c>
      <c r="H11" s="31">
        <v>3.0099999999999998E-2</v>
      </c>
      <c r="I11" s="21"/>
      <c r="J11" s="21"/>
      <c r="K11" s="21"/>
      <c r="L11" s="21"/>
      <c r="M11" s="21"/>
      <c r="N11" s="21"/>
    </row>
    <row r="12" spans="4:17" x14ac:dyDescent="0.25">
      <c r="D12" s="29"/>
      <c r="E12" s="30"/>
      <c r="F12" s="30"/>
      <c r="G12" s="30"/>
      <c r="H12" s="31"/>
      <c r="I12" s="21"/>
      <c r="J12" s="21"/>
      <c r="K12" s="21"/>
      <c r="L12" s="21"/>
      <c r="M12" s="21"/>
      <c r="N12" s="21"/>
    </row>
    <row r="13" spans="4:17" x14ac:dyDescent="0.25">
      <c r="D13" s="29" t="s">
        <v>2</v>
      </c>
      <c r="E13" s="30">
        <v>900</v>
      </c>
      <c r="F13" s="30"/>
      <c r="G13" s="30"/>
      <c r="H13" s="31"/>
      <c r="I13" s="21"/>
      <c r="J13" s="21"/>
      <c r="K13" s="21"/>
      <c r="L13" s="21"/>
      <c r="M13" s="21"/>
      <c r="N13" s="21"/>
    </row>
    <row r="14" spans="4:17" x14ac:dyDescent="0.25">
      <c r="D14" s="29" t="s">
        <v>3</v>
      </c>
      <c r="E14" s="30">
        <v>200</v>
      </c>
      <c r="F14" s="30"/>
      <c r="G14" s="30"/>
      <c r="H14" s="31"/>
    </row>
    <row r="15" spans="4:17" x14ac:dyDescent="0.25">
      <c r="D15" s="29"/>
      <c r="E15" s="30"/>
      <c r="F15" s="30"/>
      <c r="G15" s="220" t="s">
        <v>68</v>
      </c>
      <c r="H15" s="224"/>
    </row>
    <row r="16" spans="4:17" ht="15.75" thickBot="1" x14ac:dyDescent="0.3">
      <c r="D16" s="37" t="s">
        <v>4</v>
      </c>
      <c r="E16" s="43">
        <f>E13+(G11*E14)</f>
        <v>524</v>
      </c>
      <c r="F16" s="38"/>
      <c r="G16" s="43">
        <f>_xlfn.NORM.INV(H11,E13,E14)</f>
        <v>524.13480928567822</v>
      </c>
      <c r="H16" s="41"/>
    </row>
  </sheetData>
  <mergeCells count="7">
    <mergeCell ref="M4:N4"/>
    <mergeCell ref="P4:Q4"/>
    <mergeCell ref="G15:H15"/>
    <mergeCell ref="D5:E5"/>
    <mergeCell ref="D8:I8"/>
    <mergeCell ref="D10:F10"/>
    <mergeCell ref="D11:F11"/>
  </mergeCells>
  <pageMargins left="0.7" right="0.7" top="0.75" bottom="0.75" header="0.3" footer="0.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CBAAB7-8C02-4D52-A268-644132A8E581}">
  <dimension ref="E3:L35"/>
  <sheetViews>
    <sheetView topLeftCell="A7" workbookViewId="0">
      <selection activeCell="J27" sqref="J27"/>
    </sheetView>
  </sheetViews>
  <sheetFormatPr defaultRowHeight="15" x14ac:dyDescent="0.25"/>
  <sheetData>
    <row r="3" spans="5:12" x14ac:dyDescent="0.25">
      <c r="G3" t="s">
        <v>18</v>
      </c>
    </row>
    <row r="4" spans="5:12" x14ac:dyDescent="0.25">
      <c r="F4">
        <v>18</v>
      </c>
      <c r="G4">
        <v>1</v>
      </c>
      <c r="H4">
        <f>G4/$G$8</f>
        <v>0.25</v>
      </c>
      <c r="K4">
        <v>18</v>
      </c>
      <c r="L4">
        <v>0.25</v>
      </c>
    </row>
    <row r="5" spans="5:12" x14ac:dyDescent="0.25">
      <c r="F5">
        <v>20</v>
      </c>
      <c r="G5">
        <v>1</v>
      </c>
      <c r="H5">
        <f t="shared" ref="H5:H7" si="0">G5/$G$8</f>
        <v>0.25</v>
      </c>
      <c r="K5">
        <v>20</v>
      </c>
      <c r="L5">
        <v>0.25</v>
      </c>
    </row>
    <row r="6" spans="5:12" x14ac:dyDescent="0.25">
      <c r="F6">
        <v>22</v>
      </c>
      <c r="G6">
        <v>1</v>
      </c>
      <c r="H6">
        <f t="shared" si="0"/>
        <v>0.25</v>
      </c>
      <c r="K6">
        <v>22</v>
      </c>
      <c r="L6">
        <v>0.25</v>
      </c>
    </row>
    <row r="7" spans="5:12" x14ac:dyDescent="0.25">
      <c r="F7">
        <v>24</v>
      </c>
      <c r="G7">
        <v>1</v>
      </c>
      <c r="H7">
        <f t="shared" si="0"/>
        <v>0.25</v>
      </c>
      <c r="K7">
        <v>24</v>
      </c>
      <c r="L7">
        <v>0.25</v>
      </c>
    </row>
    <row r="8" spans="5:12" x14ac:dyDescent="0.25">
      <c r="G8">
        <v>4</v>
      </c>
    </row>
    <row r="9" spans="5:12" x14ac:dyDescent="0.25">
      <c r="E9" t="s">
        <v>72</v>
      </c>
      <c r="F9">
        <f>AVERAGE(F4:F7)</f>
        <v>21</v>
      </c>
    </row>
    <row r="10" spans="5:12" x14ac:dyDescent="0.25">
      <c r="E10" t="s">
        <v>50</v>
      </c>
      <c r="F10">
        <f>_xlfn.VAR.P(F4:F7)</f>
        <v>5</v>
      </c>
    </row>
    <row r="11" spans="5:12" x14ac:dyDescent="0.25">
      <c r="E11" t="s">
        <v>74</v>
      </c>
      <c r="F11">
        <f>_xlfn.STDEV.P(F4:F7)</f>
        <v>2.2360679774997898</v>
      </c>
    </row>
    <row r="14" spans="5:12" ht="15.75" thickBot="1" x14ac:dyDescent="0.3">
      <c r="E14" s="8"/>
      <c r="F14" s="59">
        <v>18</v>
      </c>
      <c r="G14" s="59">
        <v>20</v>
      </c>
      <c r="H14" s="59">
        <v>22</v>
      </c>
      <c r="I14" s="59">
        <v>24</v>
      </c>
    </row>
    <row r="15" spans="5:12" x14ac:dyDescent="0.25">
      <c r="E15" s="47">
        <v>18</v>
      </c>
      <c r="F15" s="60" t="s">
        <v>78</v>
      </c>
      <c r="G15" s="61" t="s">
        <v>82</v>
      </c>
      <c r="H15" s="61" t="s">
        <v>83</v>
      </c>
      <c r="I15" s="62" t="s">
        <v>84</v>
      </c>
    </row>
    <row r="16" spans="5:12" x14ac:dyDescent="0.25">
      <c r="E16" s="47">
        <v>20</v>
      </c>
      <c r="F16" s="63" t="s">
        <v>85</v>
      </c>
      <c r="G16" s="8" t="s">
        <v>79</v>
      </c>
      <c r="H16" s="8" t="s">
        <v>86</v>
      </c>
      <c r="I16" s="64" t="s">
        <v>87</v>
      </c>
    </row>
    <row r="17" spans="5:12" x14ac:dyDescent="0.25">
      <c r="E17" s="47">
        <v>22</v>
      </c>
      <c r="F17" s="63" t="s">
        <v>88</v>
      </c>
      <c r="G17" s="8" t="s">
        <v>89</v>
      </c>
      <c r="H17" s="8" t="s">
        <v>80</v>
      </c>
      <c r="I17" s="64" t="s">
        <v>90</v>
      </c>
    </row>
    <row r="18" spans="5:12" ht="15.75" thickBot="1" x14ac:dyDescent="0.3">
      <c r="E18" s="47">
        <v>24</v>
      </c>
      <c r="F18" s="65" t="s">
        <v>91</v>
      </c>
      <c r="G18" s="66" t="s">
        <v>92</v>
      </c>
      <c r="H18" s="66" t="s">
        <v>93</v>
      </c>
      <c r="I18" s="67" t="s">
        <v>81</v>
      </c>
    </row>
    <row r="20" spans="5:12" ht="15.75" thickBot="1" x14ac:dyDescent="0.3">
      <c r="E20" s="8"/>
      <c r="F20" s="59">
        <v>18</v>
      </c>
      <c r="G20" s="59">
        <v>20</v>
      </c>
      <c r="H20" s="59">
        <v>22</v>
      </c>
      <c r="I20" s="59">
        <v>24</v>
      </c>
      <c r="L20" s="11">
        <v>18</v>
      </c>
    </row>
    <row r="21" spans="5:12" x14ac:dyDescent="0.25">
      <c r="E21" s="47">
        <v>18</v>
      </c>
      <c r="F21" s="60">
        <v>18</v>
      </c>
      <c r="G21" s="60">
        <v>19</v>
      </c>
      <c r="H21" s="60">
        <v>20</v>
      </c>
      <c r="I21" s="60">
        <v>21</v>
      </c>
      <c r="L21" s="11">
        <v>19</v>
      </c>
    </row>
    <row r="22" spans="5:12" x14ac:dyDescent="0.25">
      <c r="E22" s="47">
        <v>20</v>
      </c>
      <c r="F22" s="63">
        <v>19</v>
      </c>
      <c r="G22" s="63">
        <v>20</v>
      </c>
      <c r="H22" s="63">
        <v>21</v>
      </c>
      <c r="I22" s="63">
        <v>22</v>
      </c>
      <c r="L22" s="11">
        <v>20</v>
      </c>
    </row>
    <row r="23" spans="5:12" x14ac:dyDescent="0.25">
      <c r="E23" s="47">
        <v>22</v>
      </c>
      <c r="F23" s="63">
        <v>20</v>
      </c>
      <c r="G23" s="63">
        <v>21</v>
      </c>
      <c r="H23" s="63">
        <v>22</v>
      </c>
      <c r="I23" s="63">
        <v>23</v>
      </c>
      <c r="L23" s="11">
        <v>21</v>
      </c>
    </row>
    <row r="24" spans="5:12" ht="15.75" thickBot="1" x14ac:dyDescent="0.3">
      <c r="E24" s="47">
        <v>24</v>
      </c>
      <c r="F24" s="65">
        <v>21</v>
      </c>
      <c r="G24" s="66">
        <v>22</v>
      </c>
      <c r="H24" s="65">
        <v>23</v>
      </c>
      <c r="I24" s="66">
        <v>24</v>
      </c>
      <c r="L24" s="11">
        <v>19</v>
      </c>
    </row>
    <row r="25" spans="5:12" x14ac:dyDescent="0.25">
      <c r="L25" s="11">
        <v>20</v>
      </c>
    </row>
    <row r="26" spans="5:12" x14ac:dyDescent="0.25">
      <c r="L26" s="11">
        <v>21</v>
      </c>
    </row>
    <row r="27" spans="5:12" x14ac:dyDescent="0.25">
      <c r="E27" t="s">
        <v>2</v>
      </c>
      <c r="F27">
        <f>AVERAGE(F21:I24)</f>
        <v>21</v>
      </c>
      <c r="L27" s="11">
        <v>22</v>
      </c>
    </row>
    <row r="28" spans="5:12" x14ac:dyDescent="0.25">
      <c r="E28" t="s">
        <v>133</v>
      </c>
      <c r="F28">
        <f>F11/SQRT(16)</f>
        <v>0.55901699437494745</v>
      </c>
      <c r="L28" s="11">
        <v>20</v>
      </c>
    </row>
    <row r="29" spans="5:12" x14ac:dyDescent="0.25">
      <c r="L29" s="11">
        <v>21</v>
      </c>
    </row>
    <row r="30" spans="5:12" x14ac:dyDescent="0.25">
      <c r="L30" s="11">
        <v>22</v>
      </c>
    </row>
    <row r="31" spans="5:12" x14ac:dyDescent="0.25">
      <c r="L31" s="11">
        <v>23</v>
      </c>
    </row>
    <row r="32" spans="5:12" x14ac:dyDescent="0.25">
      <c r="L32" s="11">
        <v>21</v>
      </c>
    </row>
    <row r="33" spans="12:12" x14ac:dyDescent="0.25">
      <c r="L33" s="11">
        <v>22</v>
      </c>
    </row>
    <row r="34" spans="12:12" x14ac:dyDescent="0.25">
      <c r="L34" s="11">
        <v>23</v>
      </c>
    </row>
    <row r="35" spans="12:12" x14ac:dyDescent="0.25">
      <c r="L35" s="11">
        <v>24</v>
      </c>
    </row>
  </sheetData>
  <phoneticPr fontId="3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A157E9-DCE5-47E8-8B2D-7A37F13A5CEE}">
  <dimension ref="A1"/>
  <sheetViews>
    <sheetView workbookViewId="0">
      <selection activeCell="I11" sqref="I1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08D399-6F6E-4578-99D9-86D3347A48D2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BD1F86-C185-4C7A-879F-7C72150F2315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84678F-66B0-4B47-A710-98F1B0B98782}">
  <dimension ref="E3:AJ29"/>
  <sheetViews>
    <sheetView topLeftCell="A17" workbookViewId="0">
      <selection activeCell="F33" sqref="F33"/>
    </sheetView>
  </sheetViews>
  <sheetFormatPr defaultRowHeight="15" x14ac:dyDescent="0.25"/>
  <cols>
    <col min="6" max="6" width="12" bestFit="1" customWidth="1"/>
    <col min="7" max="7" width="14" customWidth="1"/>
    <col min="9" max="9" width="12.140625" customWidth="1"/>
    <col min="10" max="10" width="17" customWidth="1"/>
    <col min="12" max="12" width="20.42578125" customWidth="1"/>
  </cols>
  <sheetData>
    <row r="3" spans="5:12" x14ac:dyDescent="0.25">
      <c r="E3" s="214"/>
      <c r="F3" s="214" t="s">
        <v>0</v>
      </c>
      <c r="G3" s="214" t="s">
        <v>1</v>
      </c>
      <c r="I3" t="s">
        <v>0</v>
      </c>
      <c r="J3" t="s">
        <v>1</v>
      </c>
      <c r="L3" s="5">
        <f>_xlfn.COVARIANCE.S(F4:F26,G4:G26)</f>
        <v>2145851812111.0498</v>
      </c>
    </row>
    <row r="4" spans="5:12" x14ac:dyDescent="0.25">
      <c r="E4" s="214">
        <v>2011</v>
      </c>
      <c r="F4" s="214">
        <v>34948153851</v>
      </c>
      <c r="G4" s="214">
        <v>406</v>
      </c>
      <c r="I4">
        <f>(F4-$F$28)/$F$29</f>
        <v>-1.5368691021881791</v>
      </c>
      <c r="J4">
        <f>(G4-$G$28)/$G$29</f>
        <v>-1.5098956943938826</v>
      </c>
    </row>
    <row r="5" spans="5:12" x14ac:dyDescent="0.25">
      <c r="E5" s="214">
        <v>2022</v>
      </c>
      <c r="F5" s="214">
        <v>35393925299</v>
      </c>
      <c r="G5" s="214">
        <v>419</v>
      </c>
      <c r="I5">
        <f t="shared" ref="I5:I26" si="0">(F5-$F$28)/$F$29</f>
        <v>-1.509189209822819</v>
      </c>
      <c r="J5">
        <f t="shared" ref="J5:J26" si="1">(G5-$G$28)/$G$29</f>
        <v>-1.4158221764476917</v>
      </c>
    </row>
    <row r="6" spans="5:12" x14ac:dyDescent="0.25">
      <c r="E6" s="214">
        <v>2016</v>
      </c>
      <c r="F6" s="214">
        <v>36277400597</v>
      </c>
      <c r="G6" s="214">
        <v>421</v>
      </c>
      <c r="I6">
        <f t="shared" si="0"/>
        <v>-1.4543303774193257</v>
      </c>
      <c r="J6">
        <f t="shared" si="1"/>
        <v>-1.401349327532893</v>
      </c>
    </row>
    <row r="7" spans="5:12" x14ac:dyDescent="0.25">
      <c r="E7" s="214">
        <v>2010</v>
      </c>
      <c r="F7" s="214">
        <v>39674187693</v>
      </c>
      <c r="G7" s="214">
        <v>423</v>
      </c>
      <c r="I7">
        <f t="shared" si="0"/>
        <v>-1.2434090597190399</v>
      </c>
      <c r="J7">
        <f t="shared" si="1"/>
        <v>-1.3868764786180943</v>
      </c>
    </row>
    <row r="8" spans="5:12" x14ac:dyDescent="0.25">
      <c r="E8" s="214">
        <v>2017</v>
      </c>
      <c r="F8" s="214">
        <v>48401363697</v>
      </c>
      <c r="G8" s="214">
        <v>439</v>
      </c>
      <c r="I8">
        <f t="shared" si="0"/>
        <v>-0.70150065906195191</v>
      </c>
      <c r="J8">
        <f t="shared" si="1"/>
        <v>-1.2710936872997054</v>
      </c>
    </row>
    <row r="9" spans="5:12" x14ac:dyDescent="0.25">
      <c r="E9" s="214">
        <v>2008</v>
      </c>
      <c r="F9" s="214">
        <v>49172358716</v>
      </c>
      <c r="G9" s="214">
        <v>479</v>
      </c>
      <c r="I9">
        <f t="shared" si="0"/>
        <v>-0.65362621749352545</v>
      </c>
      <c r="J9">
        <f t="shared" si="1"/>
        <v>-0.9816367090037329</v>
      </c>
    </row>
    <row r="10" spans="5:12" x14ac:dyDescent="0.25">
      <c r="E10" s="214">
        <v>2014</v>
      </c>
      <c r="F10" s="214">
        <v>49236683727</v>
      </c>
      <c r="G10" s="214">
        <v>517</v>
      </c>
      <c r="I10">
        <f t="shared" si="0"/>
        <v>-0.64963199716185316</v>
      </c>
      <c r="J10">
        <f t="shared" si="1"/>
        <v>-0.70665257962255901</v>
      </c>
    </row>
    <row r="11" spans="5:12" x14ac:dyDescent="0.25">
      <c r="E11" s="214">
        <v>2013</v>
      </c>
      <c r="F11" s="214">
        <v>50559208753</v>
      </c>
      <c r="G11" s="214">
        <v>563</v>
      </c>
      <c r="I11">
        <f t="shared" si="0"/>
        <v>-0.56751065328839989</v>
      </c>
      <c r="J11">
        <f t="shared" si="1"/>
        <v>-0.37377705458219068</v>
      </c>
    </row>
    <row r="12" spans="5:12" x14ac:dyDescent="0.25">
      <c r="E12" s="214">
        <v>2021</v>
      </c>
      <c r="F12" s="214">
        <v>52837606769</v>
      </c>
      <c r="G12" s="214">
        <v>589</v>
      </c>
      <c r="I12">
        <f t="shared" si="0"/>
        <v>-0.42603498872692663</v>
      </c>
      <c r="J12">
        <f t="shared" si="1"/>
        <v>-0.18563001868980858</v>
      </c>
    </row>
    <row r="13" spans="5:12" x14ac:dyDescent="0.25">
      <c r="E13" s="214">
        <v>2009</v>
      </c>
      <c r="F13" s="214">
        <v>54168730800</v>
      </c>
      <c r="G13" s="214">
        <v>609</v>
      </c>
      <c r="I13">
        <f t="shared" si="0"/>
        <v>-0.34337969514916394</v>
      </c>
      <c r="J13">
        <f t="shared" si="1"/>
        <v>-4.0901529541822343E-2</v>
      </c>
    </row>
    <row r="14" spans="5:12" x14ac:dyDescent="0.25">
      <c r="E14" s="214">
        <v>2001</v>
      </c>
      <c r="F14" s="214">
        <v>60404958658</v>
      </c>
      <c r="G14" s="214">
        <v>609</v>
      </c>
      <c r="I14">
        <f t="shared" si="0"/>
        <v>4.3854876849042532E-2</v>
      </c>
      <c r="J14">
        <f t="shared" si="1"/>
        <v>-4.0901529541822343E-2</v>
      </c>
    </row>
    <row r="15" spans="5:12" x14ac:dyDescent="0.25">
      <c r="E15" s="214">
        <v>2015</v>
      </c>
      <c r="F15" s="214">
        <v>60852512182</v>
      </c>
      <c r="G15" s="214">
        <v>611</v>
      </c>
      <c r="I15">
        <f t="shared" si="0"/>
        <v>7.1645426081477115E-2</v>
      </c>
      <c r="J15">
        <f t="shared" si="1"/>
        <v>-2.6428680627023717E-2</v>
      </c>
    </row>
    <row r="16" spans="5:12" x14ac:dyDescent="0.25">
      <c r="E16" s="214">
        <v>2005</v>
      </c>
      <c r="F16" s="214">
        <v>61832480405</v>
      </c>
      <c r="G16" s="214">
        <v>613</v>
      </c>
      <c r="I16">
        <f t="shared" si="0"/>
        <v>0.13249592481982003</v>
      </c>
      <c r="J16">
        <f t="shared" si="1"/>
        <v>-1.1955831712225093E-2</v>
      </c>
    </row>
    <row r="17" spans="5:36" x14ac:dyDescent="0.25">
      <c r="E17" s="214">
        <v>2012</v>
      </c>
      <c r="F17" s="214">
        <v>61924236832</v>
      </c>
      <c r="G17" s="214">
        <v>640</v>
      </c>
      <c r="I17">
        <f t="shared" si="0"/>
        <v>0.13819348134701606</v>
      </c>
      <c r="J17">
        <f t="shared" si="1"/>
        <v>0.18342762863755632</v>
      </c>
    </row>
    <row r="18" spans="5:36" x14ac:dyDescent="0.25">
      <c r="E18" s="214">
        <v>2020</v>
      </c>
      <c r="F18" s="214">
        <v>62857600505</v>
      </c>
      <c r="G18" s="214">
        <v>672</v>
      </c>
      <c r="I18">
        <f t="shared" si="0"/>
        <v>0.19615010042230788</v>
      </c>
      <c r="J18">
        <f t="shared" si="1"/>
        <v>0.41499321127433431</v>
      </c>
    </row>
    <row r="19" spans="5:36" x14ac:dyDescent="0.25">
      <c r="E19" s="214">
        <v>2007</v>
      </c>
      <c r="F19" s="214">
        <v>65526252843</v>
      </c>
      <c r="G19" s="214">
        <v>700</v>
      </c>
      <c r="I19">
        <f t="shared" si="0"/>
        <v>0.3618583569915057</v>
      </c>
      <c r="J19">
        <f t="shared" si="1"/>
        <v>0.61761309608151505</v>
      </c>
    </row>
    <row r="20" spans="5:36" x14ac:dyDescent="0.25">
      <c r="E20" s="214">
        <v>2006</v>
      </c>
      <c r="F20" s="214">
        <v>67410760394</v>
      </c>
      <c r="G20" s="214">
        <v>732</v>
      </c>
      <c r="I20">
        <f t="shared" si="0"/>
        <v>0.47887564557610013</v>
      </c>
      <c r="J20">
        <f t="shared" si="1"/>
        <v>0.849178678718293</v>
      </c>
    </row>
    <row r="21" spans="5:36" x14ac:dyDescent="0.25">
      <c r="E21" s="214">
        <v>2019</v>
      </c>
      <c r="F21" s="214">
        <v>68329691112</v>
      </c>
      <c r="G21" s="214">
        <v>748</v>
      </c>
      <c r="I21">
        <f t="shared" si="0"/>
        <v>0.53593605956085399</v>
      </c>
      <c r="J21">
        <f t="shared" si="1"/>
        <v>0.96496147003668198</v>
      </c>
    </row>
    <row r="22" spans="5:36" x14ac:dyDescent="0.25">
      <c r="E22" s="214">
        <v>2003</v>
      </c>
      <c r="F22" s="214">
        <v>70622799821</v>
      </c>
      <c r="G22" s="214">
        <v>749</v>
      </c>
      <c r="I22">
        <f t="shared" si="0"/>
        <v>0.67832517517597091</v>
      </c>
      <c r="J22">
        <f t="shared" si="1"/>
        <v>0.97219789449408134</v>
      </c>
    </row>
    <row r="23" spans="5:36" x14ac:dyDescent="0.25">
      <c r="E23" s="214">
        <v>2004</v>
      </c>
      <c r="F23" s="214">
        <v>82092081930</v>
      </c>
      <c r="G23" s="214">
        <v>770</v>
      </c>
      <c r="I23">
        <f t="shared" si="0"/>
        <v>1.3905028969870621</v>
      </c>
      <c r="J23">
        <f t="shared" si="1"/>
        <v>1.1241628080994668</v>
      </c>
    </row>
    <row r="24" spans="5:36" x14ac:dyDescent="0.25">
      <c r="E24" s="214">
        <v>2018</v>
      </c>
      <c r="F24" s="214">
        <v>82997625644</v>
      </c>
      <c r="G24" s="214">
        <v>774</v>
      </c>
      <c r="I24">
        <f t="shared" si="0"/>
        <v>1.4467320535382653</v>
      </c>
      <c r="J24">
        <f t="shared" si="1"/>
        <v>1.1531085059290642</v>
      </c>
    </row>
    <row r="25" spans="5:36" x14ac:dyDescent="0.25">
      <c r="E25" s="214">
        <v>2002</v>
      </c>
      <c r="F25" s="214">
        <v>88467393469</v>
      </c>
      <c r="G25" s="214">
        <v>801</v>
      </c>
      <c r="I25">
        <f t="shared" si="0"/>
        <v>1.7863737810172096</v>
      </c>
      <c r="J25">
        <f t="shared" si="1"/>
        <v>1.3484919662788455</v>
      </c>
    </row>
    <row r="26" spans="5:36" x14ac:dyDescent="0.25">
      <c r="E26" s="214">
        <v>2000</v>
      </c>
      <c r="F26" s="214">
        <v>89082012916</v>
      </c>
      <c r="G26" s="214">
        <v>853</v>
      </c>
      <c r="I26">
        <f t="shared" si="0"/>
        <v>1.8245381816645501</v>
      </c>
      <c r="J26">
        <f t="shared" si="1"/>
        <v>1.7247860380636097</v>
      </c>
    </row>
    <row r="27" spans="5:36" x14ac:dyDescent="0.25">
      <c r="AJ27">
        <v>7</v>
      </c>
    </row>
    <row r="28" spans="5:36" x14ac:dyDescent="0.25">
      <c r="E28" t="s">
        <v>2</v>
      </c>
      <c r="F28">
        <f>AVERAGE(F4:F26)</f>
        <v>59698696809.260872</v>
      </c>
      <c r="G28">
        <f>AVERAGE(G4:G26)</f>
        <v>614.6521739130435</v>
      </c>
      <c r="I28">
        <f t="shared" ref="I28:J28" si="2">AVERAGE(I4:I26)</f>
        <v>0</v>
      </c>
      <c r="J28">
        <f t="shared" si="2"/>
        <v>-1.2550347234893073E-16</v>
      </c>
    </row>
    <row r="29" spans="5:36" x14ac:dyDescent="0.25">
      <c r="E29" t="s">
        <v>3</v>
      </c>
      <c r="F29">
        <f>_xlfn.STDEV.S(F4:F26)</f>
        <v>16104522449.583567</v>
      </c>
      <c r="G29">
        <f>_xlfn.STDEV.S(G4:G26)</f>
        <v>138.18979330012775</v>
      </c>
      <c r="I29">
        <f t="shared" ref="I29:J29" si="3">_xlfn.STDEV.S(I4:I26)</f>
        <v>1</v>
      </c>
      <c r="J29">
        <f t="shared" si="3"/>
        <v>0.99999999999999956</v>
      </c>
    </row>
  </sheetData>
  <sortState xmlns:xlrd2="http://schemas.microsoft.com/office/spreadsheetml/2017/richdata2" ref="G4:G26">
    <sortCondition ref="G4"/>
  </sortState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8081EA-0DAC-4DD6-9A57-62362837499F}">
  <dimension ref="F2:M13"/>
  <sheetViews>
    <sheetView workbookViewId="0">
      <selection activeCell="L4" sqref="L4"/>
    </sheetView>
  </sheetViews>
  <sheetFormatPr defaultRowHeight="15" x14ac:dyDescent="0.25"/>
  <cols>
    <col min="9" max="9" width="16.5703125" customWidth="1"/>
    <col min="12" max="12" width="31.140625" customWidth="1"/>
  </cols>
  <sheetData>
    <row r="2" spans="6:13" ht="15.75" thickBot="1" x14ac:dyDescent="0.3">
      <c r="F2" s="48"/>
      <c r="G2" s="48"/>
      <c r="H2" s="48"/>
      <c r="I2" s="48"/>
      <c r="J2" s="48"/>
      <c r="K2" s="48"/>
      <c r="L2" s="48"/>
      <c r="M2" s="48"/>
    </row>
    <row r="3" spans="6:13" x14ac:dyDescent="0.25">
      <c r="F3" s="54"/>
      <c r="G3" s="55"/>
      <c r="H3" s="55"/>
      <c r="I3" s="55"/>
      <c r="J3" s="55"/>
      <c r="K3" s="55" t="s">
        <v>18</v>
      </c>
      <c r="L3" s="35" t="s">
        <v>76</v>
      </c>
      <c r="M3" s="48"/>
    </row>
    <row r="4" spans="6:13" x14ac:dyDescent="0.25">
      <c r="F4" s="49" t="s">
        <v>5</v>
      </c>
      <c r="G4" s="50">
        <v>8</v>
      </c>
      <c r="H4" s="50"/>
      <c r="I4" s="50" t="s">
        <v>94</v>
      </c>
      <c r="J4" s="50">
        <v>7.8</v>
      </c>
      <c r="K4" s="52">
        <f>(J4-$G$4)/($G$5/SQRT(($G$6)))</f>
        <v>-0.40000000000000036</v>
      </c>
      <c r="L4" s="53">
        <v>0.34460000000000002</v>
      </c>
      <c r="M4" s="48"/>
    </row>
    <row r="5" spans="6:13" x14ac:dyDescent="0.25">
      <c r="F5" s="49" t="s">
        <v>3</v>
      </c>
      <c r="G5" s="50">
        <v>3</v>
      </c>
      <c r="H5" s="50"/>
      <c r="I5" s="50" t="s">
        <v>94</v>
      </c>
      <c r="J5" s="50">
        <v>8.1999999999999993</v>
      </c>
      <c r="K5" s="52">
        <f>(J5-$G$4)/($G$5/SQRT(($G$6)))</f>
        <v>0.39999999999999858</v>
      </c>
      <c r="L5" s="53">
        <v>0.65539999999999998</v>
      </c>
      <c r="M5" s="48"/>
    </row>
    <row r="6" spans="6:13" x14ac:dyDescent="0.25">
      <c r="F6" s="49" t="s">
        <v>37</v>
      </c>
      <c r="G6" s="50">
        <v>36</v>
      </c>
      <c r="H6" s="50"/>
      <c r="I6" s="50"/>
      <c r="J6" s="50"/>
      <c r="K6" s="50"/>
      <c r="L6" s="53">
        <f>L5-L4</f>
        <v>0.31079999999999997</v>
      </c>
      <c r="M6" s="48"/>
    </row>
    <row r="7" spans="6:13" x14ac:dyDescent="0.25">
      <c r="F7" s="49" t="s">
        <v>95</v>
      </c>
      <c r="G7" s="50">
        <f>G5/SQRT(G6)</f>
        <v>0.5</v>
      </c>
      <c r="H7" s="50"/>
      <c r="I7" s="50"/>
      <c r="J7" s="50"/>
      <c r="K7" s="50"/>
      <c r="L7" s="51"/>
      <c r="M7" s="48"/>
    </row>
    <row r="8" spans="6:13" ht="15.75" thickBot="1" x14ac:dyDescent="0.3">
      <c r="F8" s="56"/>
      <c r="G8" s="57"/>
      <c r="H8" s="57"/>
      <c r="I8" s="57"/>
      <c r="J8" s="57"/>
      <c r="K8" s="57"/>
      <c r="L8" s="41"/>
      <c r="M8" s="48"/>
    </row>
    <row r="9" spans="6:13" x14ac:dyDescent="0.25">
      <c r="F9" s="48"/>
      <c r="G9" s="48"/>
      <c r="H9" s="48"/>
      <c r="I9" s="48"/>
      <c r="J9" s="48"/>
      <c r="K9" s="48"/>
      <c r="L9" s="48"/>
      <c r="M9" s="48"/>
    </row>
    <row r="10" spans="6:13" x14ac:dyDescent="0.25">
      <c r="F10" s="48"/>
      <c r="G10" s="48"/>
      <c r="H10" s="48"/>
      <c r="I10" s="48"/>
      <c r="J10" s="48"/>
      <c r="K10" s="48"/>
      <c r="L10" s="48"/>
      <c r="M10" s="48"/>
    </row>
    <row r="11" spans="6:13" x14ac:dyDescent="0.25">
      <c r="F11" s="48"/>
      <c r="G11" s="48"/>
      <c r="H11" s="48"/>
      <c r="I11" s="48"/>
      <c r="J11" s="48"/>
      <c r="K11" s="48"/>
      <c r="L11" s="48"/>
      <c r="M11" s="48"/>
    </row>
    <row r="12" spans="6:13" x14ac:dyDescent="0.25">
      <c r="F12" s="48"/>
      <c r="G12" s="48"/>
      <c r="H12" s="48"/>
      <c r="I12" s="48"/>
      <c r="J12" s="48"/>
      <c r="K12" s="48"/>
      <c r="L12" s="48"/>
      <c r="M12" s="48"/>
    </row>
    <row r="13" spans="6:13" x14ac:dyDescent="0.25">
      <c r="F13" s="48"/>
      <c r="G13" s="48"/>
      <c r="H13" s="48"/>
      <c r="I13" s="48"/>
      <c r="J13" s="48"/>
      <c r="K13" s="48"/>
      <c r="L13" s="48"/>
      <c r="M13" s="48"/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BCBF1C-368F-4550-807F-E1742F1AD01B}">
  <dimension ref="C2:N17"/>
  <sheetViews>
    <sheetView workbookViewId="0">
      <selection activeCell="I7" sqref="I7"/>
    </sheetView>
  </sheetViews>
  <sheetFormatPr defaultRowHeight="15" x14ac:dyDescent="0.25"/>
  <sheetData>
    <row r="2" spans="3:14" ht="15.75" thickBot="1" x14ac:dyDescent="0.3"/>
    <row r="3" spans="3:14" x14ac:dyDescent="0.25">
      <c r="C3" s="22"/>
      <c r="D3" s="23"/>
      <c r="E3" s="23"/>
      <c r="F3" s="23" t="s">
        <v>96</v>
      </c>
      <c r="G3" s="23">
        <v>11</v>
      </c>
      <c r="H3" s="23"/>
      <c r="I3" s="23"/>
      <c r="J3" s="23"/>
      <c r="K3" s="23"/>
      <c r="L3" s="23"/>
      <c r="M3" s="23"/>
      <c r="N3" s="24"/>
    </row>
    <row r="4" spans="3:14" x14ac:dyDescent="0.25">
      <c r="C4" s="25"/>
      <c r="D4" s="21"/>
      <c r="E4" s="21"/>
      <c r="F4" s="21" t="s">
        <v>2</v>
      </c>
      <c r="G4" s="21">
        <v>2.2000000000000002</v>
      </c>
      <c r="H4" s="21"/>
      <c r="I4" s="21"/>
      <c r="J4" s="21"/>
      <c r="K4" s="21"/>
      <c r="L4" s="21"/>
      <c r="M4" s="21"/>
      <c r="N4" s="26"/>
    </row>
    <row r="5" spans="3:14" x14ac:dyDescent="0.25">
      <c r="C5" s="25"/>
      <c r="D5" s="21"/>
      <c r="E5" s="21"/>
      <c r="F5" s="21" t="s">
        <v>3</v>
      </c>
      <c r="G5" s="21">
        <v>0.35</v>
      </c>
      <c r="H5" s="21"/>
      <c r="I5" s="21"/>
      <c r="J5" s="21"/>
      <c r="K5" s="21"/>
      <c r="L5" s="21"/>
      <c r="M5" s="21"/>
      <c r="N5" s="26"/>
    </row>
    <row r="6" spans="3:14" x14ac:dyDescent="0.25">
      <c r="C6" s="25"/>
      <c r="D6" s="21"/>
      <c r="E6" s="21"/>
      <c r="F6" s="21"/>
      <c r="G6" s="21"/>
      <c r="H6" s="21"/>
      <c r="I6" s="21"/>
      <c r="J6" s="21"/>
      <c r="K6" s="21"/>
      <c r="L6" s="220" t="s">
        <v>68</v>
      </c>
      <c r="M6" s="220"/>
      <c r="N6" s="26"/>
    </row>
    <row r="7" spans="3:14" x14ac:dyDescent="0.25">
      <c r="C7" s="58" t="s">
        <v>106</v>
      </c>
      <c r="D7" s="21"/>
      <c r="E7" s="21"/>
      <c r="F7" s="232" t="s">
        <v>97</v>
      </c>
      <c r="G7" s="232"/>
      <c r="H7" s="232"/>
      <c r="I7" s="32">
        <f>$G$4+F10*$G$5/SQRT($G$3)</f>
        <v>1.9931632176196543</v>
      </c>
      <c r="J7" s="32">
        <f>$G$4+G10*$G$5/SQRT($G$3)</f>
        <v>2.406836782380346</v>
      </c>
      <c r="K7" s="21"/>
      <c r="L7" s="70">
        <f>_xlfn.CONFIDENCE.NORM(C8,G5,G3)</f>
        <v>0.20683298170593192</v>
      </c>
      <c r="M7" s="21"/>
      <c r="N7" s="26"/>
    </row>
    <row r="8" spans="3:14" x14ac:dyDescent="0.25">
      <c r="C8" s="58">
        <v>0.05</v>
      </c>
      <c r="D8" s="21"/>
      <c r="E8" s="21" t="s">
        <v>98</v>
      </c>
      <c r="F8" s="21">
        <f>(1-0.95)/2</f>
        <v>2.5000000000000022E-2</v>
      </c>
      <c r="G8" s="21"/>
      <c r="H8" s="21"/>
      <c r="I8" s="21"/>
      <c r="J8" s="21"/>
      <c r="K8" s="21"/>
      <c r="L8" s="220" t="s">
        <v>97</v>
      </c>
      <c r="M8" s="220"/>
      <c r="N8" s="224"/>
    </row>
    <row r="9" spans="3:14" x14ac:dyDescent="0.25">
      <c r="C9" s="25"/>
      <c r="D9" s="21"/>
      <c r="E9" s="21" t="s">
        <v>99</v>
      </c>
      <c r="F9" s="21">
        <v>2.5000000000000001E-2</v>
      </c>
      <c r="G9" s="21">
        <f>0.95+0.025</f>
        <v>0.97499999999999998</v>
      </c>
      <c r="H9" s="21"/>
      <c r="I9" s="21"/>
      <c r="J9" s="21"/>
      <c r="K9" s="21"/>
      <c r="L9" s="71">
        <f>G4-L7</f>
        <v>1.9931670182940682</v>
      </c>
      <c r="M9" s="72">
        <f>G4+L7</f>
        <v>2.4068329817059322</v>
      </c>
      <c r="N9" s="73"/>
    </row>
    <row r="10" spans="3:14" x14ac:dyDescent="0.25">
      <c r="C10" s="25"/>
      <c r="D10" s="21"/>
      <c r="E10" s="21" t="s">
        <v>100</v>
      </c>
      <c r="F10" s="21">
        <v>-1.96</v>
      </c>
      <c r="G10" s="21">
        <v>1.96</v>
      </c>
      <c r="H10" s="21"/>
      <c r="I10" s="21"/>
      <c r="J10" s="21"/>
      <c r="K10" s="21"/>
      <c r="L10" s="21"/>
      <c r="M10" s="21"/>
      <c r="N10" s="26"/>
    </row>
    <row r="11" spans="3:14" x14ac:dyDescent="0.25">
      <c r="C11" s="25"/>
      <c r="D11" s="21"/>
      <c r="E11" s="21"/>
      <c r="F11" s="21"/>
      <c r="G11" s="21"/>
      <c r="H11" s="21"/>
      <c r="I11" s="21"/>
      <c r="J11" s="21"/>
      <c r="K11" s="21"/>
      <c r="L11" s="21"/>
      <c r="M11" s="21"/>
      <c r="N11" s="26"/>
    </row>
    <row r="12" spans="3:14" x14ac:dyDescent="0.25">
      <c r="C12" s="25"/>
      <c r="D12" s="21"/>
      <c r="E12" s="21"/>
      <c r="F12" s="21"/>
      <c r="G12" s="21"/>
      <c r="H12" s="21"/>
      <c r="I12" s="21"/>
      <c r="J12" s="21"/>
      <c r="K12" s="21"/>
      <c r="L12" s="21"/>
      <c r="M12" s="21"/>
      <c r="N12" s="26"/>
    </row>
    <row r="13" spans="3:14" x14ac:dyDescent="0.25">
      <c r="C13" s="25"/>
      <c r="D13" s="21"/>
      <c r="E13" s="21"/>
      <c r="F13" s="21"/>
      <c r="G13" s="21"/>
      <c r="H13" s="21"/>
      <c r="I13" s="21"/>
      <c r="J13" s="21"/>
      <c r="K13" s="21"/>
      <c r="L13" s="21"/>
      <c r="M13" s="21"/>
      <c r="N13" s="26"/>
    </row>
    <row r="14" spans="3:14" x14ac:dyDescent="0.25">
      <c r="C14" s="25"/>
      <c r="D14" s="21"/>
      <c r="E14" s="21"/>
      <c r="F14" s="21"/>
      <c r="G14" s="21"/>
      <c r="H14" s="21"/>
      <c r="I14" s="21"/>
      <c r="J14" s="21"/>
      <c r="K14" s="21"/>
      <c r="L14" s="21"/>
      <c r="M14" s="21"/>
      <c r="N14" s="26"/>
    </row>
    <row r="15" spans="3:14" x14ac:dyDescent="0.25">
      <c r="C15" s="25"/>
      <c r="D15" s="21"/>
      <c r="E15" s="21"/>
      <c r="F15" s="21"/>
      <c r="G15" s="21"/>
      <c r="H15" s="21"/>
      <c r="I15" s="21"/>
      <c r="J15" s="21"/>
      <c r="K15" s="21"/>
      <c r="L15" s="21"/>
      <c r="M15" s="21"/>
      <c r="N15" s="26"/>
    </row>
    <row r="16" spans="3:14" x14ac:dyDescent="0.25">
      <c r="C16" s="25"/>
      <c r="D16" s="21"/>
      <c r="E16" s="21"/>
      <c r="F16" s="21"/>
      <c r="G16" s="21"/>
      <c r="H16" s="21"/>
      <c r="I16" s="21"/>
      <c r="J16" s="21"/>
      <c r="K16" s="21"/>
      <c r="L16" s="21"/>
      <c r="M16" s="21"/>
      <c r="N16" s="26"/>
    </row>
    <row r="17" spans="3:14" ht="15.75" thickBot="1" x14ac:dyDescent="0.3">
      <c r="C17" s="74"/>
      <c r="D17" s="27"/>
      <c r="E17" s="27"/>
      <c r="F17" s="27"/>
      <c r="G17" s="27"/>
      <c r="H17" s="27"/>
      <c r="I17" s="27"/>
      <c r="J17" s="27"/>
      <c r="K17" s="27"/>
      <c r="L17" s="27"/>
      <c r="M17" s="27"/>
      <c r="N17" s="28"/>
    </row>
  </sheetData>
  <mergeCells count="3">
    <mergeCell ref="F7:H7"/>
    <mergeCell ref="L6:M6"/>
    <mergeCell ref="L8:N8"/>
  </mergeCells>
  <pageMargins left="0.7" right="0.7" top="0.75" bottom="0.75" header="0.3" footer="0.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57C3F8-966C-4D5B-8F89-EC6B4AB2EDD4}">
  <dimension ref="A1"/>
  <sheetViews>
    <sheetView topLeftCell="A37" workbookViewId="0">
      <selection activeCell="J52" sqref="J5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D3405B-E14A-48BB-8D4D-1A2A3BAFF5C9}">
  <dimension ref="F2:L13"/>
  <sheetViews>
    <sheetView workbookViewId="0">
      <selection activeCell="G14" sqref="G14"/>
    </sheetView>
  </sheetViews>
  <sheetFormatPr defaultRowHeight="15" x14ac:dyDescent="0.25"/>
  <cols>
    <col min="6" max="6" width="21.5703125" customWidth="1"/>
    <col min="11" max="11" width="22.7109375" customWidth="1"/>
  </cols>
  <sheetData>
    <row r="2" spans="6:12" x14ac:dyDescent="0.25">
      <c r="F2" s="48"/>
      <c r="G2" s="48"/>
    </row>
    <row r="3" spans="6:12" x14ac:dyDescent="0.25">
      <c r="F3" s="48" t="s">
        <v>3</v>
      </c>
      <c r="G3" s="48">
        <v>45</v>
      </c>
    </row>
    <row r="4" spans="6:12" x14ac:dyDescent="0.25">
      <c r="F4" s="48" t="s">
        <v>101</v>
      </c>
      <c r="G4" s="69" t="s">
        <v>102</v>
      </c>
      <c r="H4">
        <v>5</v>
      </c>
    </row>
    <row r="5" spans="6:12" x14ac:dyDescent="0.25">
      <c r="F5" s="48" t="s">
        <v>104</v>
      </c>
      <c r="G5" t="s">
        <v>103</v>
      </c>
    </row>
    <row r="7" spans="6:12" x14ac:dyDescent="0.25">
      <c r="F7" s="48" t="s">
        <v>98</v>
      </c>
      <c r="G7">
        <f>(1-0.9)/2</f>
        <v>4.9999999999999989E-2</v>
      </c>
      <c r="I7" s="219" t="s">
        <v>105</v>
      </c>
      <c r="J7" s="219"/>
      <c r="K7" s="219"/>
      <c r="L7" s="68">
        <f>POWER(G9,2)*POWER(G3,2)/POWER(H4,2)</f>
        <v>219.18802499999998</v>
      </c>
    </row>
    <row r="8" spans="6:12" x14ac:dyDescent="0.25">
      <c r="F8" s="48" t="s">
        <v>99</v>
      </c>
      <c r="G8">
        <f>0.9+0.05</f>
        <v>0.95000000000000007</v>
      </c>
    </row>
    <row r="9" spans="6:12" x14ac:dyDescent="0.25">
      <c r="F9" s="48" t="s">
        <v>100</v>
      </c>
      <c r="G9">
        <v>1.645</v>
      </c>
    </row>
    <row r="11" spans="6:12" ht="15.75" thickBot="1" x14ac:dyDescent="0.3"/>
    <row r="12" spans="6:12" x14ac:dyDescent="0.25">
      <c r="G12" s="236" t="s">
        <v>230</v>
      </c>
      <c r="H12" s="237"/>
      <c r="I12" s="237"/>
      <c r="J12" s="238"/>
    </row>
    <row r="13" spans="6:12" ht="15.75" thickBot="1" x14ac:dyDescent="0.3">
      <c r="G13" s="239"/>
      <c r="H13" s="240"/>
      <c r="I13" s="240"/>
      <c r="J13" s="241"/>
    </row>
  </sheetData>
  <mergeCells count="2">
    <mergeCell ref="I7:K7"/>
    <mergeCell ref="G12:J13"/>
  </mergeCells>
  <pageMargins left="0.7" right="0.7" top="0.75" bottom="0.75" header="0.3" footer="0.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703065-084E-4BC6-9D4B-C0314B9674F6}">
  <dimension ref="E3:O11"/>
  <sheetViews>
    <sheetView workbookViewId="0">
      <selection activeCell="J7" sqref="J7"/>
    </sheetView>
  </sheetViews>
  <sheetFormatPr defaultRowHeight="15" x14ac:dyDescent="0.25"/>
  <cols>
    <col min="4" max="4" width="9.140625" customWidth="1"/>
    <col min="6" max="6" width="14.5703125" customWidth="1"/>
  </cols>
  <sheetData>
    <row r="3" spans="5:15" x14ac:dyDescent="0.25">
      <c r="G3" t="s">
        <v>2</v>
      </c>
      <c r="H3">
        <v>50</v>
      </c>
    </row>
    <row r="4" spans="5:15" x14ac:dyDescent="0.25">
      <c r="G4" t="s">
        <v>107</v>
      </c>
      <c r="H4">
        <v>25</v>
      </c>
    </row>
    <row r="5" spans="5:15" x14ac:dyDescent="0.25">
      <c r="G5" t="s">
        <v>108</v>
      </c>
      <c r="H5">
        <v>8</v>
      </c>
    </row>
    <row r="6" spans="5:15" x14ac:dyDescent="0.25">
      <c r="M6" s="220" t="s">
        <v>68</v>
      </c>
      <c r="N6" s="220"/>
    </row>
    <row r="7" spans="5:15" x14ac:dyDescent="0.25">
      <c r="G7" s="220" t="s">
        <v>97</v>
      </c>
      <c r="H7" s="220"/>
      <c r="I7" s="220"/>
      <c r="J7" s="68">
        <f>H3-G10*H5/SQRT(H4)</f>
        <v>46.697600000000001</v>
      </c>
      <c r="K7" s="68">
        <f>H3+G10*H5/SQRT(H4)</f>
        <v>53.302399999999999</v>
      </c>
      <c r="M7" s="70">
        <f>_xlfn.CONFIDENCE.T(G8,H5,H4)</f>
        <v>3.302237698604841</v>
      </c>
    </row>
    <row r="8" spans="5:15" x14ac:dyDescent="0.25">
      <c r="F8" t="s">
        <v>106</v>
      </c>
      <c r="G8">
        <v>0.05</v>
      </c>
      <c r="M8" s="220" t="s">
        <v>97</v>
      </c>
      <c r="N8" s="220"/>
      <c r="O8" s="224"/>
    </row>
    <row r="9" spans="5:15" x14ac:dyDescent="0.25">
      <c r="F9" t="s">
        <v>111</v>
      </c>
      <c r="G9">
        <v>2.5000000000000001E-2</v>
      </c>
      <c r="H9" t="s">
        <v>109</v>
      </c>
      <c r="I9">
        <v>0.97499999999999998</v>
      </c>
      <c r="M9" s="71">
        <f>H3-M7</f>
        <v>46.697762301395159</v>
      </c>
      <c r="N9" s="72">
        <f>H3+M7</f>
        <v>53.302237698604841</v>
      </c>
    </row>
    <row r="10" spans="5:15" x14ac:dyDescent="0.25">
      <c r="E10" s="219" t="s">
        <v>110</v>
      </c>
      <c r="F10" s="219"/>
      <c r="G10">
        <v>2.0640000000000001</v>
      </c>
    </row>
    <row r="11" spans="5:15" x14ac:dyDescent="0.25">
      <c r="F11" s="68" t="s">
        <v>320</v>
      </c>
      <c r="G11" s="68">
        <f>_xlfn.T.INV.2T(G8,24)</f>
        <v>2.0638985616280254</v>
      </c>
    </row>
  </sheetData>
  <mergeCells count="4">
    <mergeCell ref="G7:I7"/>
    <mergeCell ref="E10:F10"/>
    <mergeCell ref="M6:N6"/>
    <mergeCell ref="M8:O8"/>
  </mergeCell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EE9368-64A2-4E07-9647-60E90DD528DE}">
  <dimension ref="E2:P22"/>
  <sheetViews>
    <sheetView workbookViewId="0">
      <selection activeCell="L19" sqref="L19"/>
    </sheetView>
  </sheetViews>
  <sheetFormatPr defaultRowHeight="15" x14ac:dyDescent="0.25"/>
  <sheetData>
    <row r="2" spans="5:16" x14ac:dyDescent="0.25">
      <c r="E2" s="21"/>
      <c r="F2" s="21"/>
      <c r="G2" s="21"/>
      <c r="H2" s="21"/>
      <c r="I2" s="21"/>
      <c r="J2" s="21"/>
      <c r="K2" s="21"/>
      <c r="L2" s="21"/>
      <c r="M2" s="21"/>
      <c r="N2" s="21"/>
      <c r="O2" s="21"/>
      <c r="P2" s="21"/>
    </row>
    <row r="3" spans="5:16" ht="15.75" thickBot="1" x14ac:dyDescent="0.3">
      <c r="E3" s="80"/>
      <c r="F3" s="80"/>
      <c r="G3" s="80"/>
      <c r="H3" s="80"/>
      <c r="I3" s="80"/>
      <c r="J3" s="80"/>
      <c r="K3" s="80"/>
      <c r="L3" s="80"/>
      <c r="M3" s="80"/>
      <c r="N3" s="80"/>
      <c r="O3" s="21"/>
      <c r="P3" s="21"/>
    </row>
    <row r="4" spans="5:16" x14ac:dyDescent="0.25">
      <c r="E4" s="80"/>
      <c r="F4" s="77" t="s">
        <v>112</v>
      </c>
      <c r="G4" s="78">
        <v>30</v>
      </c>
      <c r="H4" s="78"/>
      <c r="I4" s="23"/>
      <c r="J4" s="23"/>
      <c r="K4" s="78"/>
      <c r="L4" s="78"/>
      <c r="M4" s="78"/>
      <c r="N4" s="78"/>
      <c r="O4" s="24"/>
      <c r="P4" s="21"/>
    </row>
    <row r="5" spans="5:16" x14ac:dyDescent="0.25">
      <c r="E5" s="80"/>
      <c r="F5" s="79" t="s">
        <v>157</v>
      </c>
      <c r="G5" s="80">
        <v>30</v>
      </c>
      <c r="H5" s="80"/>
      <c r="I5" s="80"/>
      <c r="J5" s="80"/>
      <c r="K5" s="80"/>
      <c r="L5" s="80"/>
      <c r="M5" s="80"/>
      <c r="N5" s="80"/>
      <c r="O5" s="26"/>
      <c r="P5" s="21"/>
    </row>
    <row r="6" spans="5:16" x14ac:dyDescent="0.25">
      <c r="E6" s="80"/>
      <c r="F6" s="79"/>
      <c r="G6" s="80"/>
      <c r="H6" s="80"/>
      <c r="I6" s="80"/>
      <c r="J6" s="80"/>
      <c r="K6" s="80"/>
      <c r="L6" s="80"/>
      <c r="M6" s="80"/>
      <c r="N6" s="80"/>
      <c r="O6" s="26"/>
      <c r="P6" s="21"/>
    </row>
    <row r="7" spans="5:16" x14ac:dyDescent="0.25">
      <c r="E7" s="80"/>
      <c r="F7" s="79" t="s">
        <v>114</v>
      </c>
      <c r="G7" s="80">
        <v>29.84</v>
      </c>
      <c r="H7" s="80"/>
      <c r="I7" s="75" t="s">
        <v>115</v>
      </c>
      <c r="J7" s="75">
        <f>(G7-G4)/(G9/SQRT(G8))</f>
        <v>-2.0000000000000018</v>
      </c>
      <c r="K7" s="75">
        <v>2.2800000000000001E-2</v>
      </c>
      <c r="L7" s="87" t="s">
        <v>76</v>
      </c>
      <c r="M7" s="80"/>
      <c r="N7" s="80"/>
      <c r="O7" s="26"/>
      <c r="P7" s="21"/>
    </row>
    <row r="8" spans="5:16" x14ac:dyDescent="0.25">
      <c r="E8" s="80"/>
      <c r="F8" s="79" t="s">
        <v>37</v>
      </c>
      <c r="G8" s="80">
        <v>100</v>
      </c>
      <c r="H8" s="80"/>
      <c r="I8" s="80"/>
      <c r="J8" s="80"/>
      <c r="K8" s="80"/>
      <c r="L8" s="80"/>
      <c r="M8" s="80"/>
      <c r="N8" s="80"/>
      <c r="O8" s="26"/>
      <c r="P8" s="21"/>
    </row>
    <row r="9" spans="5:16" x14ac:dyDescent="0.25">
      <c r="E9" s="80"/>
      <c r="F9" s="79" t="s">
        <v>116</v>
      </c>
      <c r="G9" s="80">
        <v>0.8</v>
      </c>
      <c r="H9" s="80"/>
      <c r="I9" s="80"/>
      <c r="J9" s="80" t="s">
        <v>113</v>
      </c>
      <c r="K9" s="80">
        <v>0.05</v>
      </c>
      <c r="L9" s="80"/>
      <c r="M9" s="80"/>
      <c r="N9" s="80"/>
      <c r="O9" s="26"/>
      <c r="P9" s="21"/>
    </row>
    <row r="10" spans="5:16" x14ac:dyDescent="0.25">
      <c r="E10" s="80"/>
      <c r="F10" s="79"/>
      <c r="G10" s="80"/>
      <c r="H10" s="80"/>
      <c r="I10" s="80"/>
      <c r="J10" s="80" t="s">
        <v>118</v>
      </c>
      <c r="K10" s="80" t="s">
        <v>119</v>
      </c>
      <c r="L10" s="80"/>
      <c r="M10" s="80"/>
      <c r="N10" s="80"/>
      <c r="O10" s="26"/>
      <c r="P10" s="21"/>
    </row>
    <row r="11" spans="5:16" x14ac:dyDescent="0.25">
      <c r="E11" s="80"/>
      <c r="F11" s="79"/>
      <c r="G11" s="80"/>
      <c r="H11" s="80"/>
      <c r="I11" s="80"/>
      <c r="J11" s="75" t="s">
        <v>117</v>
      </c>
      <c r="K11" s="75">
        <f>0.05/2</f>
        <v>2.5000000000000001E-2</v>
      </c>
      <c r="L11" s="75">
        <v>-1.96</v>
      </c>
      <c r="M11" s="87" t="s">
        <v>76</v>
      </c>
      <c r="N11" s="75"/>
      <c r="O11" s="26"/>
      <c r="P11" s="21"/>
    </row>
    <row r="12" spans="5:16" x14ac:dyDescent="0.25">
      <c r="E12" s="80"/>
      <c r="F12" s="79"/>
      <c r="G12" s="80"/>
      <c r="H12" s="80"/>
      <c r="I12" s="80"/>
      <c r="J12" s="75" t="s">
        <v>117</v>
      </c>
      <c r="K12" s="75">
        <v>0.97499999999999998</v>
      </c>
      <c r="L12" s="75">
        <v>1.96</v>
      </c>
      <c r="M12" s="87" t="s">
        <v>76</v>
      </c>
      <c r="N12" s="75"/>
      <c r="O12" s="26"/>
      <c r="P12" s="21"/>
    </row>
    <row r="13" spans="5:16" x14ac:dyDescent="0.25">
      <c r="E13" s="80"/>
      <c r="F13" s="79"/>
      <c r="G13" s="80"/>
      <c r="H13" s="80"/>
      <c r="I13" s="80"/>
      <c r="J13" s="80"/>
      <c r="K13" s="80"/>
      <c r="L13" s="80"/>
      <c r="M13" s="80"/>
      <c r="N13" s="80"/>
      <c r="O13" s="26"/>
      <c r="P13" s="21"/>
    </row>
    <row r="14" spans="5:16" x14ac:dyDescent="0.25">
      <c r="E14" s="80"/>
      <c r="F14" s="89" t="s">
        <v>127</v>
      </c>
      <c r="G14" s="80"/>
      <c r="H14" s="75" t="s">
        <v>120</v>
      </c>
      <c r="I14" s="75" t="s">
        <v>121</v>
      </c>
      <c r="J14" s="75">
        <v>-1.96</v>
      </c>
      <c r="K14" s="75" t="s">
        <v>156</v>
      </c>
      <c r="L14" s="75" t="s">
        <v>120</v>
      </c>
      <c r="M14" s="75" t="s">
        <v>128</v>
      </c>
      <c r="N14" s="75">
        <v>1.96</v>
      </c>
      <c r="O14" s="90" t="s">
        <v>124</v>
      </c>
      <c r="P14" s="21"/>
    </row>
    <row r="15" spans="5:16" x14ac:dyDescent="0.25">
      <c r="E15" s="80"/>
      <c r="F15" s="79"/>
      <c r="G15" s="80"/>
      <c r="H15" s="80"/>
      <c r="I15" s="80"/>
      <c r="J15" s="80"/>
      <c r="K15" s="80"/>
      <c r="L15" s="80"/>
      <c r="M15" s="80"/>
      <c r="N15" s="80"/>
      <c r="O15" s="26"/>
      <c r="P15" s="21"/>
    </row>
    <row r="16" spans="5:16" x14ac:dyDescent="0.25">
      <c r="E16" s="21"/>
      <c r="F16" s="25" t="s">
        <v>129</v>
      </c>
      <c r="G16" s="21"/>
      <c r="H16" s="32" t="s">
        <v>123</v>
      </c>
      <c r="I16" s="75" t="s">
        <v>122</v>
      </c>
      <c r="J16" s="75">
        <f>K7*2</f>
        <v>4.5600000000000002E-2</v>
      </c>
      <c r="K16" s="75" t="s">
        <v>121</v>
      </c>
      <c r="L16" s="75">
        <v>0.05</v>
      </c>
      <c r="M16" s="75" t="s">
        <v>106</v>
      </c>
      <c r="N16" s="88" t="s">
        <v>124</v>
      </c>
      <c r="O16" s="26"/>
      <c r="P16" s="21"/>
    </row>
    <row r="17" spans="5:16" x14ac:dyDescent="0.25">
      <c r="E17" s="21"/>
      <c r="F17" s="25"/>
      <c r="G17" s="21"/>
      <c r="H17" s="242" t="s">
        <v>126</v>
      </c>
      <c r="I17" s="242"/>
      <c r="J17" s="32" t="s">
        <v>125</v>
      </c>
      <c r="K17" s="32"/>
      <c r="L17" s="21"/>
      <c r="M17" s="21"/>
      <c r="N17" s="21"/>
      <c r="O17" s="26"/>
      <c r="P17" s="21"/>
    </row>
    <row r="18" spans="5:16" x14ac:dyDescent="0.25">
      <c r="E18" s="21"/>
      <c r="F18" s="25"/>
      <c r="G18" s="21"/>
      <c r="H18" s="21"/>
      <c r="I18" s="21"/>
      <c r="J18" s="21"/>
      <c r="K18" s="21"/>
      <c r="L18" s="21"/>
      <c r="M18" s="21"/>
      <c r="N18" s="220" t="s">
        <v>68</v>
      </c>
      <c r="O18" s="224"/>
      <c r="P18" s="21"/>
    </row>
    <row r="19" spans="5:16" x14ac:dyDescent="0.25">
      <c r="E19" s="21"/>
      <c r="F19" s="25"/>
      <c r="G19" s="21"/>
      <c r="H19" s="220" t="s">
        <v>97</v>
      </c>
      <c r="I19" s="220"/>
      <c r="J19" s="220"/>
      <c r="K19" s="32">
        <f>$G$7+L11*$G$9/SQRT($G$8)</f>
        <v>29.683199999999999</v>
      </c>
      <c r="L19" s="32">
        <f>$G$7+L12*$G$9/SQRT($G$8)</f>
        <v>29.9968</v>
      </c>
      <c r="M19" s="21"/>
      <c r="N19" s="21">
        <f>_xlfn.CONFIDENCE.NORM(K9,G9,G8)</f>
        <v>0.15679711876320429</v>
      </c>
      <c r="O19" s="26"/>
      <c r="P19" s="21"/>
    </row>
    <row r="20" spans="5:16" x14ac:dyDescent="0.25">
      <c r="E20" s="21"/>
      <c r="F20" s="25"/>
      <c r="G20" s="21"/>
      <c r="H20" s="21"/>
      <c r="I20" s="21"/>
      <c r="J20" s="21"/>
      <c r="K20" s="21"/>
      <c r="L20" s="21"/>
      <c r="M20" s="21"/>
      <c r="N20" s="32">
        <f>$G$7-N19</f>
        <v>29.683202881236795</v>
      </c>
      <c r="O20" s="73">
        <f>$G$7+N19</f>
        <v>29.996797118763205</v>
      </c>
      <c r="P20" s="21"/>
    </row>
    <row r="21" spans="5:16" x14ac:dyDescent="0.25">
      <c r="F21" s="25" t="s">
        <v>130</v>
      </c>
      <c r="G21" s="21"/>
      <c r="H21" s="21" t="s">
        <v>132</v>
      </c>
      <c r="I21" s="21"/>
      <c r="J21" s="220" t="s">
        <v>131</v>
      </c>
      <c r="K21" s="220"/>
      <c r="L21" s="220"/>
      <c r="M21" s="88" t="s">
        <v>124</v>
      </c>
      <c r="N21" s="21"/>
      <c r="O21" s="26"/>
    </row>
    <row r="22" spans="5:16" ht="15.75" thickBot="1" x14ac:dyDescent="0.3">
      <c r="F22" s="74"/>
      <c r="G22" s="27"/>
      <c r="H22" s="27"/>
      <c r="I22" s="27"/>
      <c r="J22" s="27"/>
      <c r="K22" s="27"/>
      <c r="L22" s="27"/>
      <c r="M22" s="27"/>
      <c r="N22" s="27"/>
      <c r="O22" s="28"/>
    </row>
  </sheetData>
  <mergeCells count="4">
    <mergeCell ref="H17:I17"/>
    <mergeCell ref="H19:J19"/>
    <mergeCell ref="N18:O18"/>
    <mergeCell ref="J21:L21"/>
  </mergeCells>
  <pageMargins left="0.7" right="0.7" top="0.75" bottom="0.75" header="0.3" footer="0.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A558EF-9BE3-4630-9ACD-677DE2B242FA}">
  <dimension ref="A2:AB34"/>
  <sheetViews>
    <sheetView topLeftCell="A24" workbookViewId="0">
      <selection activeCell="C13" sqref="C13"/>
    </sheetView>
  </sheetViews>
  <sheetFormatPr defaultRowHeight="15" x14ac:dyDescent="0.25"/>
  <cols>
    <col min="1" max="1" width="21.85546875" customWidth="1"/>
    <col min="2" max="2" width="21.28515625" customWidth="1"/>
    <col min="3" max="3" width="12" bestFit="1" customWidth="1"/>
  </cols>
  <sheetData>
    <row r="2" spans="1:28" ht="15.75" thickBot="1" x14ac:dyDescent="0.3"/>
    <row r="3" spans="1:28" x14ac:dyDescent="0.25">
      <c r="A3" s="227" t="s">
        <v>140</v>
      </c>
      <c r="B3" s="228"/>
      <c r="C3" s="92"/>
      <c r="D3" s="23"/>
      <c r="E3" s="23"/>
      <c r="F3" s="23"/>
      <c r="G3" s="23"/>
      <c r="H3" s="23"/>
      <c r="I3" s="23"/>
      <c r="J3" s="23"/>
      <c r="K3" s="24"/>
      <c r="R3" s="77" t="s">
        <v>112</v>
      </c>
      <c r="S3" s="78">
        <v>168</v>
      </c>
      <c r="T3" s="23"/>
      <c r="U3" s="23"/>
      <c r="V3" s="23"/>
      <c r="W3" s="23"/>
      <c r="X3" s="23"/>
      <c r="Y3" s="23"/>
      <c r="Z3" s="23"/>
      <c r="AA3" s="23"/>
      <c r="AB3" s="24"/>
    </row>
    <row r="4" spans="1:28" x14ac:dyDescent="0.25">
      <c r="A4" s="25" t="s">
        <v>141</v>
      </c>
      <c r="B4" s="21">
        <v>168</v>
      </c>
      <c r="C4" s="21"/>
      <c r="D4" s="21"/>
      <c r="E4" s="21"/>
      <c r="F4" s="21"/>
      <c r="G4" s="21"/>
      <c r="H4" s="21"/>
      <c r="I4" s="21"/>
      <c r="J4" s="21"/>
      <c r="K4" s="26"/>
      <c r="R4" s="79" t="s">
        <v>157</v>
      </c>
      <c r="S4" s="80">
        <v>168</v>
      </c>
      <c r="T4" s="21"/>
      <c r="U4" s="21"/>
      <c r="V4" s="21"/>
      <c r="W4" s="21"/>
      <c r="X4" s="21"/>
      <c r="Y4" s="21"/>
      <c r="Z4" s="21"/>
      <c r="AA4" s="21"/>
      <c r="AB4" s="26"/>
    </row>
    <row r="5" spans="1:28" x14ac:dyDescent="0.25">
      <c r="A5" s="25" t="s">
        <v>142</v>
      </c>
      <c r="B5" s="21">
        <v>0.05</v>
      </c>
      <c r="C5" s="21"/>
      <c r="D5" s="21"/>
      <c r="E5" s="21"/>
      <c r="F5" s="21"/>
      <c r="G5" s="21"/>
      <c r="H5" s="21"/>
      <c r="I5" s="21"/>
      <c r="J5" s="21"/>
      <c r="K5" s="26"/>
      <c r="R5" s="25"/>
      <c r="S5" s="21"/>
      <c r="T5" s="21"/>
      <c r="U5" s="21"/>
      <c r="V5" s="21"/>
      <c r="W5" s="21"/>
      <c r="X5" s="21"/>
      <c r="Y5" s="21"/>
      <c r="Z5" s="21"/>
      <c r="AA5" s="21"/>
      <c r="AB5" s="26"/>
    </row>
    <row r="6" spans="1:28" x14ac:dyDescent="0.25">
      <c r="A6" s="25" t="s">
        <v>143</v>
      </c>
      <c r="B6" s="21">
        <v>25</v>
      </c>
      <c r="C6" s="21"/>
      <c r="D6" s="21"/>
      <c r="E6" s="21"/>
      <c r="F6" s="21"/>
      <c r="G6" s="21"/>
      <c r="H6" s="21"/>
      <c r="I6" s="21"/>
      <c r="J6" s="21"/>
      <c r="K6" s="26"/>
      <c r="R6" s="25" t="s">
        <v>134</v>
      </c>
      <c r="S6" s="21">
        <v>172.5</v>
      </c>
      <c r="T6" s="21"/>
      <c r="U6" s="21"/>
      <c r="V6" s="21"/>
      <c r="W6" s="21"/>
      <c r="X6" s="21"/>
      <c r="Y6" s="21"/>
      <c r="Z6" s="21"/>
      <c r="AA6" s="21"/>
      <c r="AB6" s="26"/>
    </row>
    <row r="7" spans="1:28" x14ac:dyDescent="0.25">
      <c r="A7" s="25" t="s">
        <v>144</v>
      </c>
      <c r="B7" s="21">
        <v>172.5</v>
      </c>
      <c r="C7" s="21"/>
      <c r="D7" s="21"/>
      <c r="E7" s="21"/>
      <c r="F7" s="21"/>
      <c r="G7" s="21"/>
      <c r="H7" s="21"/>
      <c r="I7" s="21"/>
      <c r="J7" s="21"/>
      <c r="K7" s="26"/>
      <c r="R7" s="25" t="s">
        <v>135</v>
      </c>
      <c r="S7" s="21">
        <v>25</v>
      </c>
      <c r="T7" s="21" t="s">
        <v>136</v>
      </c>
      <c r="U7" s="21">
        <v>24</v>
      </c>
      <c r="V7" s="21"/>
      <c r="W7" s="21"/>
      <c r="X7" s="21"/>
      <c r="Y7" s="21"/>
      <c r="Z7" s="21"/>
      <c r="AA7" s="21"/>
      <c r="AB7" s="26"/>
    </row>
    <row r="8" spans="1:28" x14ac:dyDescent="0.25">
      <c r="A8" s="25" t="s">
        <v>145</v>
      </c>
      <c r="B8" s="21">
        <v>15.4</v>
      </c>
      <c r="C8" s="21"/>
      <c r="D8" s="21"/>
      <c r="E8" s="21"/>
      <c r="F8" s="21"/>
      <c r="G8" s="21"/>
      <c r="H8" s="21"/>
      <c r="I8" s="21"/>
      <c r="J8" s="21"/>
      <c r="K8" s="26"/>
      <c r="R8" s="25" t="s">
        <v>116</v>
      </c>
      <c r="S8" s="21">
        <v>15.4</v>
      </c>
      <c r="T8" s="21"/>
      <c r="U8" s="21"/>
      <c r="V8" s="21"/>
      <c r="W8" s="21"/>
      <c r="X8" s="21"/>
      <c r="Y8" s="21"/>
      <c r="Z8" s="21"/>
      <c r="AA8" s="21"/>
      <c r="AB8" s="26"/>
    </row>
    <row r="9" spans="1:28" x14ac:dyDescent="0.25">
      <c r="A9" s="25"/>
      <c r="B9" s="21"/>
      <c r="C9" s="21"/>
      <c r="D9" s="21"/>
      <c r="E9" s="21"/>
      <c r="F9" s="21"/>
      <c r="G9" s="21"/>
      <c r="H9" s="21"/>
      <c r="I9" s="21"/>
      <c r="J9" s="21"/>
      <c r="K9" s="26"/>
      <c r="R9" s="25"/>
      <c r="S9" s="21"/>
      <c r="T9" s="21"/>
      <c r="U9" s="21"/>
      <c r="V9" s="21"/>
      <c r="W9" s="21"/>
      <c r="X9" s="21"/>
      <c r="Y9" s="21"/>
      <c r="Z9" s="21"/>
      <c r="AA9" s="21"/>
      <c r="AB9" s="26"/>
    </row>
    <row r="10" spans="1:28" x14ac:dyDescent="0.25">
      <c r="A10" s="231" t="s">
        <v>146</v>
      </c>
      <c r="B10" s="232"/>
      <c r="C10" s="232"/>
      <c r="D10" s="21"/>
      <c r="E10" s="21"/>
      <c r="F10" s="21"/>
      <c r="G10" s="21"/>
      <c r="H10" s="21"/>
      <c r="I10" s="21"/>
      <c r="J10" s="21"/>
      <c r="K10" s="26"/>
      <c r="R10" s="25"/>
      <c r="S10" s="21"/>
      <c r="T10" s="21"/>
      <c r="U10" s="21"/>
      <c r="V10" s="21"/>
      <c r="W10" s="21"/>
      <c r="X10" s="21"/>
      <c r="Y10" s="21"/>
      <c r="Z10" s="21"/>
      <c r="AA10" s="21"/>
      <c r="AB10" s="26"/>
    </row>
    <row r="11" spans="1:28" x14ac:dyDescent="0.25">
      <c r="A11" s="231" t="s">
        <v>147</v>
      </c>
      <c r="B11" s="232"/>
      <c r="C11" s="21">
        <f>B8/SQRT(B6)</f>
        <v>3.08</v>
      </c>
      <c r="D11" s="21"/>
      <c r="E11" s="21"/>
      <c r="F11" s="21"/>
      <c r="G11" s="21"/>
      <c r="H11" s="21"/>
      <c r="I11" s="21"/>
      <c r="J11" s="21"/>
      <c r="K11" s="26"/>
      <c r="R11" s="25"/>
      <c r="S11" s="21"/>
      <c r="T11" s="21"/>
      <c r="U11" s="21" t="s">
        <v>106</v>
      </c>
      <c r="V11" s="21">
        <v>0.05</v>
      </c>
      <c r="W11" s="21"/>
      <c r="X11" s="21"/>
      <c r="Y11" s="21"/>
      <c r="Z11" s="21"/>
      <c r="AA11" s="21"/>
      <c r="AB11" s="26"/>
    </row>
    <row r="12" spans="1:28" x14ac:dyDescent="0.25">
      <c r="A12" s="231" t="s">
        <v>154</v>
      </c>
      <c r="B12" s="232"/>
      <c r="C12" s="21">
        <f>B6-1</f>
        <v>24</v>
      </c>
      <c r="D12" s="21"/>
      <c r="E12" s="21"/>
      <c r="F12" s="21"/>
      <c r="G12" s="21"/>
      <c r="H12" s="21"/>
      <c r="I12" s="21"/>
      <c r="J12" s="21"/>
      <c r="K12" s="26"/>
      <c r="R12" s="25"/>
      <c r="S12" s="21"/>
      <c r="T12" s="21"/>
      <c r="U12" s="21" t="s">
        <v>111</v>
      </c>
      <c r="V12" s="21">
        <v>2.5000000000000001E-2</v>
      </c>
      <c r="W12" s="21" t="s">
        <v>109</v>
      </c>
      <c r="X12" s="21">
        <v>0.97499999999999998</v>
      </c>
      <c r="Y12" s="21"/>
      <c r="Z12" s="21"/>
      <c r="AA12" s="21"/>
      <c r="AB12" s="26"/>
    </row>
    <row r="13" spans="1:28" x14ac:dyDescent="0.25">
      <c r="A13" s="231" t="s">
        <v>148</v>
      </c>
      <c r="B13" s="232"/>
      <c r="C13" s="21">
        <f>(B7-B4)/C11</f>
        <v>1.4610389610389609</v>
      </c>
      <c r="D13" s="21"/>
      <c r="E13" s="21"/>
      <c r="F13" s="21"/>
      <c r="G13" s="21"/>
      <c r="H13" s="21"/>
      <c r="I13" s="21"/>
      <c r="J13" s="21"/>
      <c r="K13" s="26"/>
      <c r="R13" s="25"/>
      <c r="S13" s="21"/>
      <c r="T13" s="232" t="s">
        <v>137</v>
      </c>
      <c r="U13" s="232"/>
      <c r="V13" s="21">
        <v>2.0640000000000001</v>
      </c>
      <c r="W13" s="21"/>
      <c r="X13" s="21"/>
      <c r="Y13" s="21"/>
      <c r="Z13" s="21"/>
      <c r="AA13" s="21"/>
      <c r="AB13" s="26"/>
    </row>
    <row r="14" spans="1:28" x14ac:dyDescent="0.25">
      <c r="A14" s="231"/>
      <c r="B14" s="232"/>
      <c r="C14" s="21"/>
      <c r="D14" s="21"/>
      <c r="E14" s="21"/>
      <c r="F14" s="21"/>
      <c r="G14" s="21"/>
      <c r="H14" s="21"/>
      <c r="I14" s="21"/>
      <c r="J14" s="21"/>
      <c r="K14" s="26"/>
      <c r="R14" s="25"/>
      <c r="S14" s="21"/>
      <c r="T14" s="21"/>
      <c r="U14" s="21"/>
      <c r="V14" s="21"/>
      <c r="W14" s="21"/>
      <c r="X14" s="21"/>
      <c r="Y14" s="21"/>
      <c r="Z14" s="21"/>
      <c r="AA14" s="21"/>
      <c r="AB14" s="26"/>
    </row>
    <row r="15" spans="1:28" x14ac:dyDescent="0.25">
      <c r="A15" s="25"/>
      <c r="B15" s="21"/>
      <c r="C15" s="21"/>
      <c r="D15" s="21"/>
      <c r="E15" s="21"/>
      <c r="F15" s="21"/>
      <c r="G15" s="21"/>
      <c r="H15" s="21"/>
      <c r="I15" s="21"/>
      <c r="J15" s="21"/>
      <c r="K15" s="26"/>
      <c r="R15" s="25"/>
      <c r="S15" s="21"/>
      <c r="T15" s="21"/>
      <c r="U15" s="21"/>
      <c r="V15" s="21"/>
      <c r="W15" s="21"/>
      <c r="X15" s="21"/>
      <c r="Y15" s="21"/>
      <c r="Z15" s="21"/>
      <c r="AA15" s="21"/>
      <c r="AB15" s="26"/>
    </row>
    <row r="16" spans="1:28" x14ac:dyDescent="0.25">
      <c r="A16" s="231" t="s">
        <v>149</v>
      </c>
      <c r="B16" s="232"/>
      <c r="C16" s="232"/>
      <c r="D16" s="21"/>
      <c r="E16" s="21"/>
      <c r="F16" s="21"/>
      <c r="G16" s="21"/>
      <c r="H16" s="21"/>
      <c r="I16" s="21"/>
      <c r="J16" s="21"/>
      <c r="K16" s="26"/>
      <c r="R16" s="25"/>
      <c r="S16" s="21"/>
      <c r="T16" s="32" t="s">
        <v>138</v>
      </c>
      <c r="U16" s="32">
        <f>(S6-S3)/(S8/SQRT(S7))</f>
        <v>1.4610389610389609</v>
      </c>
      <c r="V16" s="21"/>
      <c r="W16" s="21"/>
      <c r="X16" s="21"/>
      <c r="Y16" s="21"/>
      <c r="Z16" s="21"/>
      <c r="AA16" s="21"/>
      <c r="AB16" s="26"/>
    </row>
    <row r="17" spans="1:28" x14ac:dyDescent="0.25">
      <c r="A17" s="25"/>
      <c r="B17" s="21" t="s">
        <v>150</v>
      </c>
      <c r="C17" s="21">
        <f>-_xlfn.T.INV.2T(B5,C12)</f>
        <v>-2.0638985616280254</v>
      </c>
      <c r="D17" s="21"/>
      <c r="E17" s="21"/>
      <c r="F17" s="21"/>
      <c r="G17" s="21"/>
      <c r="H17" s="21"/>
      <c r="I17" s="21"/>
      <c r="J17" s="21"/>
      <c r="K17" s="26"/>
      <c r="R17" s="25"/>
      <c r="S17" s="21"/>
      <c r="T17" s="21"/>
      <c r="U17" s="21"/>
      <c r="V17" s="21"/>
      <c r="W17" s="21"/>
      <c r="X17" s="21"/>
      <c r="Y17" s="21"/>
      <c r="Z17" s="21"/>
      <c r="AA17" s="21"/>
      <c r="AB17" s="26"/>
    </row>
    <row r="18" spans="1:28" ht="15.75" thickBot="1" x14ac:dyDescent="0.3">
      <c r="A18" s="25"/>
      <c r="B18" s="21" t="s">
        <v>151</v>
      </c>
      <c r="C18" s="21">
        <f>_xlfn.T.INV.2T(B5,C12)</f>
        <v>2.0638985616280254</v>
      </c>
      <c r="D18" s="21"/>
      <c r="E18" s="21"/>
      <c r="F18" s="21"/>
      <c r="G18" s="21"/>
      <c r="H18" s="21"/>
      <c r="I18" s="21"/>
      <c r="J18" s="21"/>
      <c r="K18" s="26"/>
      <c r="R18" s="91" t="s">
        <v>127</v>
      </c>
      <c r="S18" s="81"/>
      <c r="T18" s="76" t="s">
        <v>139</v>
      </c>
      <c r="U18" s="76" t="s">
        <v>128</v>
      </c>
      <c r="V18" s="76">
        <v>-2.0640000000000001</v>
      </c>
      <c r="W18" s="76" t="s">
        <v>156</v>
      </c>
      <c r="X18" s="76" t="s">
        <v>139</v>
      </c>
      <c r="Y18" s="76" t="s">
        <v>121</v>
      </c>
      <c r="Z18" s="76">
        <v>2.0640000000000001</v>
      </c>
      <c r="AA18" s="244" t="s">
        <v>125</v>
      </c>
      <c r="AB18" s="244"/>
    </row>
    <row r="19" spans="1:28" x14ac:dyDescent="0.25">
      <c r="A19" s="25"/>
      <c r="B19" s="21" t="s">
        <v>123</v>
      </c>
      <c r="C19" s="93">
        <f>_xlfn.T.DIST.2T(C13,C12)</f>
        <v>0.15697437315617416</v>
      </c>
      <c r="D19" s="220" t="s">
        <v>152</v>
      </c>
      <c r="E19" s="220"/>
      <c r="F19" s="220"/>
      <c r="G19" s="220"/>
      <c r="H19" s="21"/>
      <c r="I19" s="21"/>
      <c r="J19" s="21"/>
      <c r="K19" s="26"/>
    </row>
    <row r="20" spans="1:28" x14ac:dyDescent="0.25">
      <c r="A20" s="25"/>
      <c r="B20" s="21"/>
      <c r="C20" s="21"/>
      <c r="D20" s="21"/>
      <c r="E20" s="21"/>
      <c r="F20" s="21"/>
      <c r="G20" s="21"/>
      <c r="H20" s="21"/>
      <c r="I20" s="21"/>
      <c r="J20" s="21"/>
      <c r="K20" s="26"/>
    </row>
    <row r="21" spans="1:28" x14ac:dyDescent="0.25">
      <c r="A21" s="25"/>
      <c r="B21" s="21"/>
      <c r="C21" s="21"/>
      <c r="D21" s="21"/>
      <c r="E21" s="21"/>
      <c r="F21" s="21"/>
      <c r="G21" s="21"/>
      <c r="H21" s="21"/>
      <c r="I21" s="21"/>
      <c r="J21" s="21"/>
      <c r="K21" s="26"/>
    </row>
    <row r="22" spans="1:28" x14ac:dyDescent="0.25">
      <c r="A22" s="89" t="s">
        <v>127</v>
      </c>
      <c r="B22" s="75" t="s">
        <v>139</v>
      </c>
      <c r="C22" s="75" t="s">
        <v>128</v>
      </c>
      <c r="D22" s="75">
        <v>-2.0640000000000001</v>
      </c>
      <c r="E22" s="75" t="s">
        <v>156</v>
      </c>
      <c r="F22" s="75" t="s">
        <v>139</v>
      </c>
      <c r="G22" s="75" t="s">
        <v>121</v>
      </c>
      <c r="H22" s="75">
        <v>2.0640000000000001</v>
      </c>
      <c r="I22" s="243" t="s">
        <v>125</v>
      </c>
      <c r="J22" s="243"/>
      <c r="K22" s="26"/>
    </row>
    <row r="23" spans="1:28" x14ac:dyDescent="0.25">
      <c r="A23" s="25" t="s">
        <v>129</v>
      </c>
      <c r="B23" s="32" t="s">
        <v>123</v>
      </c>
      <c r="C23" s="93">
        <f>_xlfn.T.DIST.2T(C13,C12)</f>
        <v>0.15697437315617416</v>
      </c>
      <c r="D23" s="75" t="s">
        <v>128</v>
      </c>
      <c r="E23" s="75">
        <v>0.05</v>
      </c>
      <c r="F23" s="75" t="s">
        <v>106</v>
      </c>
      <c r="G23" s="243" t="s">
        <v>125</v>
      </c>
      <c r="H23" s="243"/>
      <c r="I23" s="21"/>
      <c r="J23" s="21"/>
      <c r="K23" s="26"/>
    </row>
    <row r="24" spans="1:28" x14ac:dyDescent="0.25">
      <c r="A24" s="25"/>
      <c r="B24" s="21"/>
      <c r="C24" s="21"/>
      <c r="D24" s="21"/>
      <c r="E24" s="21"/>
      <c r="F24" s="21"/>
      <c r="G24" s="21"/>
      <c r="H24" s="21"/>
      <c r="I24" s="21"/>
      <c r="J24" s="21"/>
      <c r="K24" s="26"/>
    </row>
    <row r="25" spans="1:28" x14ac:dyDescent="0.25">
      <c r="A25" s="25"/>
      <c r="B25" s="220" t="s">
        <v>97</v>
      </c>
      <c r="C25" s="220"/>
      <c r="D25" s="220"/>
      <c r="E25" s="32">
        <f>$B$7+C17*$C$11</f>
        <v>166.14319243018568</v>
      </c>
      <c r="F25" s="32">
        <f>$B$7+C18*$C$11</f>
        <v>178.85680756981432</v>
      </c>
      <c r="G25" s="21"/>
      <c r="H25" s="21"/>
      <c r="I25" s="21"/>
      <c r="J25" s="220" t="s">
        <v>68</v>
      </c>
      <c r="K25" s="224"/>
    </row>
    <row r="26" spans="1:28" x14ac:dyDescent="0.25">
      <c r="A26" s="25" t="s">
        <v>130</v>
      </c>
      <c r="B26" s="32" t="s">
        <v>155</v>
      </c>
      <c r="C26" s="32"/>
      <c r="D26" s="75" t="s">
        <v>153</v>
      </c>
      <c r="E26" s="75"/>
      <c r="F26" s="75"/>
      <c r="G26" s="243" t="s">
        <v>125</v>
      </c>
      <c r="H26" s="243"/>
      <c r="I26" s="21"/>
      <c r="J26" s="32">
        <f>_xlfn.CONFIDENCE.T(B5,B8,25)</f>
        <v>6.3568075698143183</v>
      </c>
      <c r="K26" s="73"/>
    </row>
    <row r="27" spans="1:28" x14ac:dyDescent="0.25">
      <c r="A27" s="25"/>
      <c r="B27" s="21"/>
      <c r="C27" s="21"/>
      <c r="D27" s="21"/>
      <c r="E27" s="21"/>
      <c r="F27" s="21"/>
      <c r="G27" s="21"/>
      <c r="H27" s="21"/>
      <c r="I27" s="21"/>
      <c r="J27" s="32">
        <f>$B$7-J26</f>
        <v>166.14319243018568</v>
      </c>
      <c r="K27" s="73">
        <f>$B$7+J26</f>
        <v>178.85680756981432</v>
      </c>
    </row>
    <row r="28" spans="1:28" x14ac:dyDescent="0.25">
      <c r="A28" s="25"/>
      <c r="B28" s="21"/>
      <c r="C28" s="21"/>
      <c r="D28" s="21"/>
      <c r="E28" s="21"/>
      <c r="F28" s="21"/>
      <c r="G28" s="21"/>
      <c r="H28" s="21"/>
      <c r="I28" s="21"/>
      <c r="J28" s="21"/>
      <c r="K28" s="26"/>
    </row>
    <row r="29" spans="1:28" x14ac:dyDescent="0.25">
      <c r="A29" s="25"/>
      <c r="B29" s="21"/>
      <c r="C29" s="21"/>
      <c r="D29" s="21"/>
      <c r="E29" s="21"/>
      <c r="F29" s="21"/>
      <c r="G29" s="21"/>
      <c r="H29" s="21"/>
      <c r="I29" s="21"/>
      <c r="J29" s="21"/>
      <c r="K29" s="26"/>
    </row>
    <row r="30" spans="1:28" x14ac:dyDescent="0.25">
      <c r="A30" s="25"/>
      <c r="B30" s="21"/>
      <c r="C30" s="21"/>
      <c r="D30" s="21"/>
      <c r="E30" s="21"/>
      <c r="F30" s="21"/>
      <c r="G30" s="21"/>
      <c r="H30" s="21"/>
      <c r="I30" s="21"/>
      <c r="J30" s="21"/>
      <c r="K30" s="26"/>
    </row>
    <row r="31" spans="1:28" x14ac:dyDescent="0.25">
      <c r="A31" s="25"/>
      <c r="B31" s="21"/>
      <c r="C31" s="21"/>
      <c r="D31" s="21"/>
      <c r="E31" s="21"/>
      <c r="F31" s="21"/>
      <c r="G31" s="21"/>
      <c r="H31" s="21"/>
      <c r="I31" s="21"/>
      <c r="J31" s="21"/>
      <c r="K31" s="26"/>
    </row>
    <row r="32" spans="1:28" x14ac:dyDescent="0.25">
      <c r="A32" s="25"/>
      <c r="B32" s="21"/>
      <c r="C32" s="21"/>
      <c r="D32" s="21"/>
      <c r="E32" s="21"/>
      <c r="F32" s="21"/>
      <c r="G32" s="21"/>
      <c r="H32" s="21"/>
      <c r="I32" s="21"/>
      <c r="J32" s="21"/>
      <c r="K32" s="26"/>
    </row>
    <row r="33" spans="1:11" x14ac:dyDescent="0.25">
      <c r="A33" s="25"/>
      <c r="B33" s="21"/>
      <c r="C33" s="21"/>
      <c r="D33" s="21"/>
      <c r="E33" s="21"/>
      <c r="F33" s="21"/>
      <c r="G33" s="21"/>
      <c r="H33" s="21"/>
      <c r="I33" s="21"/>
      <c r="J33" s="21"/>
      <c r="K33" s="26"/>
    </row>
    <row r="34" spans="1:11" ht="15.75" thickBot="1" x14ac:dyDescent="0.3">
      <c r="A34" s="74"/>
      <c r="B34" s="27"/>
      <c r="C34" s="27"/>
      <c r="D34" s="27"/>
      <c r="E34" s="27"/>
      <c r="F34" s="27"/>
      <c r="G34" s="27"/>
      <c r="H34" s="27"/>
      <c r="I34" s="27"/>
      <c r="J34" s="27"/>
      <c r="K34" s="28"/>
    </row>
  </sheetData>
  <mergeCells count="15">
    <mergeCell ref="T13:U13"/>
    <mergeCell ref="AA18:AB18"/>
    <mergeCell ref="A3:B3"/>
    <mergeCell ref="A11:B11"/>
    <mergeCell ref="A10:C10"/>
    <mergeCell ref="A12:B12"/>
    <mergeCell ref="A13:B13"/>
    <mergeCell ref="B25:D25"/>
    <mergeCell ref="D19:G19"/>
    <mergeCell ref="G26:H26"/>
    <mergeCell ref="J25:K25"/>
    <mergeCell ref="A14:B14"/>
    <mergeCell ref="A16:C16"/>
    <mergeCell ref="I22:J22"/>
    <mergeCell ref="G23:H23"/>
  </mergeCells>
  <pageMargins left="0.7" right="0.7" top="0.75" bottom="0.75" header="0.3" footer="0.3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38906-3F0C-47F8-8035-713A0F2ED897}">
  <dimension ref="C2:N30"/>
  <sheetViews>
    <sheetView topLeftCell="A19" workbookViewId="0">
      <selection activeCell="F18" sqref="F18"/>
    </sheetView>
  </sheetViews>
  <sheetFormatPr defaultRowHeight="15" x14ac:dyDescent="0.25"/>
  <cols>
    <col min="1" max="1" width="14.28515625" customWidth="1"/>
    <col min="3" max="3" width="20.140625" customWidth="1"/>
    <col min="4" max="4" width="18.5703125" customWidth="1"/>
    <col min="5" max="5" width="27.140625" customWidth="1"/>
  </cols>
  <sheetData>
    <row r="2" spans="3:14" ht="15.75" thickBot="1" x14ac:dyDescent="0.3">
      <c r="C2" s="86"/>
      <c r="D2" s="86"/>
      <c r="E2" s="86"/>
      <c r="F2" s="86"/>
      <c r="G2" s="86"/>
      <c r="H2" s="86"/>
      <c r="I2" s="86"/>
      <c r="J2" s="86"/>
      <c r="K2" s="86"/>
      <c r="L2" s="86"/>
      <c r="M2" s="86"/>
      <c r="N2" s="21"/>
    </row>
    <row r="3" spans="3:14" x14ac:dyDescent="0.25">
      <c r="C3" s="83"/>
      <c r="D3" s="228" t="s">
        <v>140</v>
      </c>
      <c r="E3" s="228"/>
      <c r="F3" s="84"/>
      <c r="G3" s="84"/>
      <c r="H3" s="84"/>
      <c r="I3" s="84"/>
      <c r="J3" s="84"/>
      <c r="K3" s="84"/>
      <c r="L3" s="84"/>
      <c r="M3" s="84"/>
      <c r="N3" s="24"/>
    </row>
    <row r="4" spans="3:14" x14ac:dyDescent="0.25">
      <c r="C4" s="85"/>
      <c r="D4" s="86" t="s">
        <v>141</v>
      </c>
      <c r="E4" s="86">
        <v>52</v>
      </c>
      <c r="F4" s="86"/>
      <c r="G4" s="86"/>
      <c r="H4" s="86"/>
      <c r="I4" s="86"/>
      <c r="J4" s="86"/>
      <c r="K4" s="86"/>
      <c r="L4" s="86"/>
      <c r="M4" s="86"/>
      <c r="N4" s="26"/>
    </row>
    <row r="5" spans="3:14" x14ac:dyDescent="0.25">
      <c r="C5" s="85"/>
      <c r="D5" s="86" t="s">
        <v>142</v>
      </c>
      <c r="E5" s="86">
        <v>0.1</v>
      </c>
      <c r="F5" s="86"/>
      <c r="G5" s="86"/>
      <c r="H5" s="86"/>
      <c r="I5" s="86"/>
      <c r="J5" s="86"/>
      <c r="K5" s="86"/>
      <c r="L5" s="86"/>
      <c r="M5" s="86"/>
      <c r="N5" s="26"/>
    </row>
    <row r="6" spans="3:14" x14ac:dyDescent="0.25">
      <c r="C6" s="85"/>
      <c r="D6" s="86" t="s">
        <v>143</v>
      </c>
      <c r="E6" s="86">
        <v>25</v>
      </c>
      <c r="F6" s="86"/>
      <c r="G6" s="86"/>
      <c r="H6" s="86"/>
      <c r="I6" s="86"/>
      <c r="J6" s="86"/>
      <c r="K6" s="86"/>
      <c r="L6" s="86"/>
      <c r="M6" s="86"/>
      <c r="N6" s="26"/>
    </row>
    <row r="7" spans="3:14" x14ac:dyDescent="0.25">
      <c r="C7" s="85"/>
      <c r="D7" s="86" t="s">
        <v>144</v>
      </c>
      <c r="E7" s="86">
        <v>53.1</v>
      </c>
      <c r="F7" s="86"/>
      <c r="G7" s="86"/>
      <c r="H7" s="86"/>
      <c r="I7" s="86"/>
      <c r="J7" s="86"/>
      <c r="K7" s="86"/>
      <c r="L7" s="86"/>
      <c r="M7" s="86"/>
      <c r="N7" s="26"/>
    </row>
    <row r="8" spans="3:14" x14ac:dyDescent="0.25">
      <c r="C8" s="85"/>
      <c r="D8" s="86" t="s">
        <v>145</v>
      </c>
      <c r="E8" s="86">
        <v>10</v>
      </c>
      <c r="F8" s="86"/>
      <c r="G8" s="86"/>
      <c r="H8" s="86"/>
      <c r="I8" s="86"/>
      <c r="J8" s="86"/>
      <c r="K8" s="86"/>
      <c r="L8" s="86"/>
      <c r="M8" s="86"/>
      <c r="N8" s="26"/>
    </row>
    <row r="9" spans="3:14" x14ac:dyDescent="0.25">
      <c r="C9" s="85"/>
      <c r="D9" s="86"/>
      <c r="E9" s="86"/>
      <c r="F9" s="86"/>
      <c r="G9" s="86"/>
      <c r="H9" s="86"/>
      <c r="I9" s="86"/>
      <c r="J9" s="86"/>
      <c r="K9" s="86"/>
      <c r="L9" s="86"/>
      <c r="M9" s="86"/>
      <c r="N9" s="26"/>
    </row>
    <row r="10" spans="3:14" x14ac:dyDescent="0.25">
      <c r="C10" s="85"/>
      <c r="D10" s="232" t="s">
        <v>146</v>
      </c>
      <c r="E10" s="232"/>
      <c r="F10" s="232"/>
      <c r="G10" s="86"/>
      <c r="H10" s="86"/>
      <c r="I10" s="86"/>
      <c r="J10" s="86"/>
      <c r="K10" s="86"/>
      <c r="L10" s="86"/>
      <c r="M10" s="86"/>
      <c r="N10" s="26"/>
    </row>
    <row r="11" spans="3:14" x14ac:dyDescent="0.25">
      <c r="C11" s="85"/>
      <c r="D11" s="232" t="s">
        <v>147</v>
      </c>
      <c r="E11" s="232"/>
      <c r="F11" s="86">
        <f>E8/SQRT(E6)</f>
        <v>2</v>
      </c>
      <c r="G11" s="86"/>
      <c r="H11" s="86"/>
      <c r="I11" s="86"/>
      <c r="J11" s="86"/>
      <c r="K11" s="86"/>
      <c r="L11" s="86"/>
      <c r="M11" s="86"/>
      <c r="N11" s="26"/>
    </row>
    <row r="12" spans="3:14" x14ac:dyDescent="0.25">
      <c r="C12" s="85"/>
      <c r="D12" s="232" t="s">
        <v>154</v>
      </c>
      <c r="E12" s="232"/>
      <c r="F12" s="86">
        <f>E6-1</f>
        <v>24</v>
      </c>
      <c r="G12" s="86"/>
      <c r="H12" s="86"/>
      <c r="I12" s="86"/>
      <c r="J12" s="86"/>
      <c r="K12" s="86"/>
      <c r="L12" s="86"/>
      <c r="M12" s="86"/>
      <c r="N12" s="26"/>
    </row>
    <row r="13" spans="3:14" x14ac:dyDescent="0.25">
      <c r="C13" s="85"/>
      <c r="D13" s="232" t="s">
        <v>148</v>
      </c>
      <c r="E13" s="232"/>
      <c r="F13" s="86">
        <f>(E7-E4)/F11</f>
        <v>0.55000000000000071</v>
      </c>
      <c r="G13" s="86"/>
      <c r="H13" s="86"/>
      <c r="I13" s="86"/>
      <c r="J13" s="86"/>
      <c r="K13" s="86"/>
      <c r="L13" s="86"/>
      <c r="M13" s="86"/>
      <c r="N13" s="26"/>
    </row>
    <row r="14" spans="3:14" x14ac:dyDescent="0.25">
      <c r="C14" s="85"/>
      <c r="D14" s="232"/>
      <c r="E14" s="232"/>
      <c r="F14" s="86"/>
      <c r="G14" s="86"/>
      <c r="H14" s="86"/>
      <c r="I14" s="86"/>
      <c r="J14" s="86"/>
      <c r="K14" s="86"/>
      <c r="L14" s="86"/>
      <c r="M14" s="86"/>
      <c r="N14" s="26"/>
    </row>
    <row r="15" spans="3:14" x14ac:dyDescent="0.25">
      <c r="C15" s="85"/>
      <c r="D15" s="86"/>
      <c r="E15" s="86"/>
      <c r="F15" s="86"/>
      <c r="G15" s="86"/>
      <c r="H15" s="86"/>
      <c r="I15" s="86"/>
      <c r="J15" s="86"/>
      <c r="K15" s="86"/>
      <c r="L15" s="86"/>
      <c r="M15" s="86"/>
      <c r="N15" s="26"/>
    </row>
    <row r="16" spans="3:14" x14ac:dyDescent="0.25">
      <c r="C16" s="85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26"/>
    </row>
    <row r="17" spans="3:14" x14ac:dyDescent="0.25">
      <c r="C17" s="85"/>
      <c r="D17" s="232" t="s">
        <v>158</v>
      </c>
      <c r="E17" s="232"/>
      <c r="F17" s="232"/>
      <c r="G17" s="86"/>
      <c r="H17" s="86"/>
      <c r="I17" s="86"/>
      <c r="J17" s="86"/>
      <c r="K17" s="86"/>
      <c r="L17" s="86"/>
      <c r="M17" s="86"/>
      <c r="N17" s="26"/>
    </row>
    <row r="18" spans="3:14" x14ac:dyDescent="0.25">
      <c r="C18" s="85"/>
      <c r="D18" s="86"/>
      <c r="E18" s="86" t="s">
        <v>151</v>
      </c>
      <c r="F18" s="86">
        <f>_xlfn.T.INV.2T(2*E5,F12)</f>
        <v>1.3178359336731498</v>
      </c>
      <c r="G18" s="86"/>
      <c r="H18" s="86"/>
      <c r="I18" s="86"/>
      <c r="J18" s="86"/>
      <c r="K18" s="86"/>
      <c r="L18" s="86"/>
      <c r="M18" s="86"/>
      <c r="N18" s="26"/>
    </row>
    <row r="19" spans="3:14" x14ac:dyDescent="0.25">
      <c r="C19" s="85"/>
      <c r="D19" s="86"/>
      <c r="E19" s="86"/>
      <c r="F19" s="86"/>
      <c r="G19" s="86"/>
      <c r="H19" s="86"/>
      <c r="I19" s="86"/>
      <c r="J19" s="86"/>
      <c r="K19" s="86"/>
      <c r="L19" s="86"/>
      <c r="M19" s="86"/>
      <c r="N19" s="26"/>
    </row>
    <row r="20" spans="3:14" x14ac:dyDescent="0.25">
      <c r="C20" s="85"/>
      <c r="D20" s="86"/>
      <c r="E20" s="86" t="s">
        <v>123</v>
      </c>
      <c r="F20" s="96">
        <f>_xlfn.T.DIST.RT(F13,F12)</f>
        <v>0.29370099509950798</v>
      </c>
      <c r="G20" s="220" t="s">
        <v>152</v>
      </c>
      <c r="H20" s="220"/>
      <c r="I20" s="220"/>
      <c r="J20" s="220"/>
      <c r="K20" s="86"/>
      <c r="L20" s="86"/>
      <c r="M20" s="86"/>
      <c r="N20" s="26"/>
    </row>
    <row r="21" spans="3:14" x14ac:dyDescent="0.25">
      <c r="C21" s="85"/>
      <c r="D21" s="86"/>
      <c r="E21" s="86"/>
      <c r="F21" s="86"/>
      <c r="G21" s="86"/>
      <c r="H21" s="86"/>
      <c r="I21" s="86"/>
      <c r="J21" s="86"/>
      <c r="K21" s="86"/>
      <c r="L21" s="86"/>
      <c r="M21" s="86"/>
      <c r="N21" s="26"/>
    </row>
    <row r="22" spans="3:14" x14ac:dyDescent="0.25">
      <c r="C22" s="85"/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26"/>
    </row>
    <row r="23" spans="3:14" x14ac:dyDescent="0.25">
      <c r="C23" s="85" t="s">
        <v>127</v>
      </c>
      <c r="D23" s="82" t="s">
        <v>139</v>
      </c>
      <c r="E23" s="82" t="s">
        <v>121</v>
      </c>
      <c r="F23" s="82">
        <v>1.317836</v>
      </c>
      <c r="G23" s="243" t="s">
        <v>125</v>
      </c>
      <c r="H23" s="243"/>
      <c r="I23" s="86"/>
      <c r="J23" s="86"/>
      <c r="K23" s="86"/>
      <c r="L23" s="86"/>
      <c r="M23" s="86"/>
      <c r="N23" s="26"/>
    </row>
    <row r="24" spans="3:14" x14ac:dyDescent="0.25">
      <c r="C24" s="85" t="s">
        <v>129</v>
      </c>
      <c r="D24" s="82" t="s">
        <v>123</v>
      </c>
      <c r="E24" s="96">
        <f>_xlfn.T.DIST.RT(F13,F12)</f>
        <v>0.29370099509950798</v>
      </c>
      <c r="F24" s="82" t="s">
        <v>128</v>
      </c>
      <c r="G24" s="82">
        <v>0.1</v>
      </c>
      <c r="H24" s="82" t="s">
        <v>106</v>
      </c>
      <c r="I24" s="243" t="s">
        <v>125</v>
      </c>
      <c r="J24" s="243"/>
      <c r="K24" s="86"/>
      <c r="L24" s="86"/>
      <c r="M24" s="86"/>
      <c r="N24" s="26"/>
    </row>
    <row r="25" spans="3:14" x14ac:dyDescent="0.25">
      <c r="C25" s="85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26"/>
    </row>
    <row r="26" spans="3:14" x14ac:dyDescent="0.25">
      <c r="C26" s="85"/>
      <c r="D26" s="82" t="s">
        <v>159</v>
      </c>
      <c r="E26" s="82"/>
      <c r="F26" s="82"/>
      <c r="G26" s="82">
        <f>E7-F18*F11</f>
        <v>50.464328132653705</v>
      </c>
      <c r="H26" s="82">
        <f>E7+F18*F11</f>
        <v>55.735671867346298</v>
      </c>
      <c r="I26" s="86"/>
      <c r="J26" s="86"/>
      <c r="K26" s="86"/>
      <c r="L26" s="82" t="s">
        <v>68</v>
      </c>
      <c r="M26" s="82"/>
      <c r="N26" s="26"/>
    </row>
    <row r="27" spans="3:14" x14ac:dyDescent="0.25">
      <c r="C27" s="85" t="s">
        <v>130</v>
      </c>
      <c r="D27" s="82" t="s">
        <v>160</v>
      </c>
      <c r="E27" s="220" t="s">
        <v>161</v>
      </c>
      <c r="F27" s="220"/>
      <c r="G27" s="220"/>
      <c r="H27" s="243" t="s">
        <v>125</v>
      </c>
      <c r="I27" s="243"/>
      <c r="J27" s="243"/>
      <c r="K27" s="86"/>
      <c r="L27" s="82">
        <f>_xlfn.CONFIDENCE.T(2*E5,E8,E6)</f>
        <v>2.6356718673462995</v>
      </c>
      <c r="M27" s="82"/>
      <c r="N27" s="26"/>
    </row>
    <row r="28" spans="3:14" x14ac:dyDescent="0.25">
      <c r="C28" s="85"/>
      <c r="D28" s="86"/>
      <c r="E28" s="86"/>
      <c r="F28" s="86"/>
      <c r="G28" s="86"/>
      <c r="H28" s="86"/>
      <c r="I28" s="86"/>
      <c r="J28" s="86"/>
      <c r="K28" s="86"/>
      <c r="L28" s="82">
        <f>E7-L27</f>
        <v>50.464328132653705</v>
      </c>
      <c r="M28" s="82">
        <f>E7+L27</f>
        <v>55.735671867346298</v>
      </c>
      <c r="N28" s="26"/>
    </row>
    <row r="29" spans="3:14" x14ac:dyDescent="0.25">
      <c r="C29" s="25"/>
      <c r="D29" s="21"/>
      <c r="E29" s="21"/>
      <c r="F29" s="21"/>
      <c r="G29" s="21"/>
      <c r="H29" s="21"/>
      <c r="I29" s="21"/>
      <c r="J29" s="21"/>
      <c r="K29" s="21"/>
      <c r="L29" s="21"/>
      <c r="M29" s="21"/>
      <c r="N29" s="26"/>
    </row>
    <row r="30" spans="3:14" ht="15.75" thickBot="1" x14ac:dyDescent="0.3">
      <c r="C30" s="74"/>
      <c r="D30" s="27"/>
      <c r="E30" s="27"/>
      <c r="F30" s="27"/>
      <c r="G30" s="27"/>
      <c r="H30" s="27"/>
      <c r="I30" s="27"/>
      <c r="J30" s="27"/>
      <c r="K30" s="27"/>
      <c r="L30" s="27"/>
      <c r="M30" s="27"/>
      <c r="N30" s="28"/>
    </row>
  </sheetData>
  <mergeCells count="12">
    <mergeCell ref="I24:J24"/>
    <mergeCell ref="G23:H23"/>
    <mergeCell ref="E27:G27"/>
    <mergeCell ref="H27:J27"/>
    <mergeCell ref="D17:F17"/>
    <mergeCell ref="G20:J20"/>
    <mergeCell ref="D14:E14"/>
    <mergeCell ref="D3:E3"/>
    <mergeCell ref="D10:F10"/>
    <mergeCell ref="D11:E11"/>
    <mergeCell ref="D12:E12"/>
    <mergeCell ref="D13:E13"/>
  </mergeCells>
  <pageMargins left="0.7" right="0.7" top="0.75" bottom="0.75" header="0.3" footer="0.3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26D3CB-1373-4E4D-8B0F-3156D2E76716}">
  <dimension ref="C2:N30"/>
  <sheetViews>
    <sheetView topLeftCell="A8" workbookViewId="0">
      <selection activeCell="F7" sqref="F7"/>
    </sheetView>
  </sheetViews>
  <sheetFormatPr defaultRowHeight="15" x14ac:dyDescent="0.25"/>
  <cols>
    <col min="3" max="4" width="26.28515625" customWidth="1"/>
    <col min="5" max="5" width="23.7109375" customWidth="1"/>
  </cols>
  <sheetData>
    <row r="2" spans="3:14" ht="15.75" thickBot="1" x14ac:dyDescent="0.3"/>
    <row r="3" spans="3:14" x14ac:dyDescent="0.25">
      <c r="C3" s="83"/>
      <c r="D3" s="228" t="s">
        <v>140</v>
      </c>
      <c r="E3" s="228"/>
      <c r="F3" s="84"/>
      <c r="G3" s="84"/>
      <c r="H3" s="84"/>
      <c r="I3" s="84"/>
      <c r="J3" s="84"/>
      <c r="K3" s="84"/>
      <c r="L3" s="84"/>
      <c r="M3" s="84"/>
      <c r="N3" s="24"/>
    </row>
    <row r="4" spans="3:14" x14ac:dyDescent="0.25">
      <c r="C4" s="85"/>
      <c r="D4" s="86" t="s">
        <v>141</v>
      </c>
      <c r="E4" s="86">
        <v>184.2</v>
      </c>
      <c r="F4" s="86"/>
      <c r="G4" s="86"/>
      <c r="H4" s="86"/>
      <c r="I4" s="86"/>
      <c r="J4" s="86"/>
      <c r="K4" s="86"/>
      <c r="L4" s="86"/>
      <c r="M4" s="86"/>
      <c r="N4" s="26"/>
    </row>
    <row r="5" spans="3:14" x14ac:dyDescent="0.25">
      <c r="C5" s="85"/>
      <c r="D5" s="86" t="s">
        <v>142</v>
      </c>
      <c r="E5" s="86">
        <v>0.05</v>
      </c>
      <c r="F5" s="86"/>
      <c r="G5" s="86"/>
      <c r="H5" s="86"/>
      <c r="I5" s="86"/>
      <c r="J5" s="86"/>
      <c r="K5" s="86"/>
      <c r="L5" s="86"/>
      <c r="M5" s="86"/>
      <c r="N5" s="26"/>
    </row>
    <row r="6" spans="3:14" x14ac:dyDescent="0.25">
      <c r="C6" s="85"/>
      <c r="D6" s="86" t="s">
        <v>143</v>
      </c>
      <c r="E6" s="86">
        <v>25</v>
      </c>
      <c r="F6" s="86"/>
      <c r="G6" s="86"/>
      <c r="H6" s="86"/>
      <c r="I6" s="86"/>
      <c r="J6" s="86"/>
      <c r="K6" s="86"/>
      <c r="L6" s="86"/>
      <c r="M6" s="86"/>
      <c r="N6" s="26"/>
    </row>
    <row r="7" spans="3:14" x14ac:dyDescent="0.25">
      <c r="C7" s="85"/>
      <c r="D7" s="86" t="s">
        <v>144</v>
      </c>
      <c r="E7" s="86">
        <v>170.8</v>
      </c>
      <c r="F7" s="86"/>
      <c r="G7" s="86"/>
      <c r="H7" s="86"/>
      <c r="I7" s="86"/>
      <c r="J7" s="86"/>
      <c r="K7" s="86"/>
      <c r="L7" s="86"/>
      <c r="M7" s="86"/>
      <c r="N7" s="26"/>
    </row>
    <row r="8" spans="3:14" x14ac:dyDescent="0.25">
      <c r="C8" s="85"/>
      <c r="D8" s="86" t="s">
        <v>145</v>
      </c>
      <c r="E8" s="86">
        <v>21.3</v>
      </c>
      <c r="F8" s="86"/>
      <c r="G8" s="86"/>
      <c r="H8" s="86"/>
      <c r="I8" s="86"/>
      <c r="J8" s="86"/>
      <c r="K8" s="86"/>
      <c r="L8" s="86"/>
      <c r="M8" s="86"/>
      <c r="N8" s="26"/>
    </row>
    <row r="9" spans="3:14" x14ac:dyDescent="0.25">
      <c r="C9" s="85"/>
      <c r="D9" s="86"/>
      <c r="E9" s="86"/>
      <c r="F9" s="86"/>
      <c r="G9" s="86"/>
      <c r="H9" s="86"/>
      <c r="I9" s="86"/>
      <c r="J9" s="86"/>
      <c r="K9" s="86"/>
      <c r="L9" s="86"/>
      <c r="M9" s="86"/>
      <c r="N9" s="26"/>
    </row>
    <row r="10" spans="3:14" x14ac:dyDescent="0.25">
      <c r="C10" s="85"/>
      <c r="D10" s="232" t="s">
        <v>146</v>
      </c>
      <c r="E10" s="232"/>
      <c r="F10" s="232"/>
      <c r="G10" s="86"/>
      <c r="H10" s="86"/>
      <c r="I10" s="86"/>
      <c r="J10" s="86"/>
      <c r="K10" s="86"/>
      <c r="L10" s="86"/>
      <c r="M10" s="86"/>
      <c r="N10" s="26"/>
    </row>
    <row r="11" spans="3:14" x14ac:dyDescent="0.25">
      <c r="C11" s="85"/>
      <c r="D11" s="232" t="s">
        <v>147</v>
      </c>
      <c r="E11" s="232"/>
      <c r="F11" s="86">
        <f>E8/SQRT(E6)</f>
        <v>4.26</v>
      </c>
      <c r="G11" s="86"/>
      <c r="H11" s="86"/>
      <c r="I11" s="86"/>
      <c r="J11" s="86"/>
      <c r="K11" s="86"/>
      <c r="L11" s="86"/>
      <c r="M11" s="86"/>
      <c r="N11" s="26"/>
    </row>
    <row r="12" spans="3:14" x14ac:dyDescent="0.25">
      <c r="C12" s="85"/>
      <c r="D12" s="232" t="s">
        <v>154</v>
      </c>
      <c r="E12" s="232"/>
      <c r="F12" s="86">
        <f>E6-1</f>
        <v>24</v>
      </c>
      <c r="G12" s="86"/>
      <c r="H12" s="86"/>
      <c r="I12" s="86"/>
      <c r="J12" s="86"/>
      <c r="K12" s="86"/>
      <c r="L12" s="86"/>
      <c r="M12" s="86"/>
      <c r="N12" s="26"/>
    </row>
    <row r="13" spans="3:14" x14ac:dyDescent="0.25">
      <c r="C13" s="85"/>
      <c r="D13" s="232" t="s">
        <v>148</v>
      </c>
      <c r="E13" s="232"/>
      <c r="F13" s="86">
        <f>(E7-E4)/F11</f>
        <v>-3.1455399061032812</v>
      </c>
      <c r="G13" s="86"/>
      <c r="H13" s="86"/>
      <c r="I13" s="86"/>
      <c r="J13" s="86"/>
      <c r="K13" s="86"/>
      <c r="L13" s="86"/>
      <c r="M13" s="86"/>
      <c r="N13" s="26"/>
    </row>
    <row r="14" spans="3:14" x14ac:dyDescent="0.25">
      <c r="C14" s="85"/>
      <c r="D14" s="232"/>
      <c r="E14" s="232"/>
      <c r="F14" s="86"/>
      <c r="G14" s="86"/>
      <c r="H14" s="86"/>
      <c r="I14" s="86"/>
      <c r="J14" s="86"/>
      <c r="K14" s="86"/>
      <c r="L14" s="86"/>
      <c r="M14" s="86"/>
      <c r="N14" s="26"/>
    </row>
    <row r="15" spans="3:14" x14ac:dyDescent="0.25">
      <c r="C15" s="85"/>
      <c r="D15" s="86"/>
      <c r="E15" s="86"/>
      <c r="F15" s="86"/>
      <c r="G15" s="86"/>
      <c r="H15" s="86"/>
      <c r="I15" s="86"/>
      <c r="J15" s="86"/>
      <c r="K15" s="86"/>
      <c r="L15" s="86"/>
      <c r="M15" s="86"/>
      <c r="N15" s="26"/>
    </row>
    <row r="16" spans="3:14" x14ac:dyDescent="0.25">
      <c r="C16" s="85"/>
      <c r="D16" s="86"/>
      <c r="E16" s="86"/>
      <c r="F16" s="86"/>
      <c r="G16" s="86"/>
      <c r="H16" s="86"/>
      <c r="I16" s="86"/>
      <c r="J16" s="86"/>
      <c r="K16" s="86"/>
      <c r="L16" s="86"/>
      <c r="M16" s="86"/>
      <c r="N16" s="26"/>
    </row>
    <row r="17" spans="3:14" x14ac:dyDescent="0.25">
      <c r="C17" s="85"/>
      <c r="D17" s="232" t="s">
        <v>158</v>
      </c>
      <c r="E17" s="232"/>
      <c r="F17" s="232"/>
      <c r="G17" s="232"/>
      <c r="H17" s="232"/>
      <c r="I17" s="86"/>
      <c r="J17" s="86"/>
      <c r="K17" s="86"/>
      <c r="L17" s="86"/>
      <c r="M17" s="86"/>
      <c r="N17" s="26"/>
    </row>
    <row r="18" spans="3:14" x14ac:dyDescent="0.25">
      <c r="C18" s="85"/>
      <c r="D18" s="86"/>
      <c r="E18" s="86" t="s">
        <v>150</v>
      </c>
      <c r="F18" s="86">
        <f>-_xlfn.T.INV.2T(2*E5,F12)</f>
        <v>-1.7108820799094284</v>
      </c>
      <c r="G18" s="86"/>
      <c r="H18" s="86"/>
      <c r="I18" s="86"/>
      <c r="J18" s="86"/>
      <c r="K18" s="86"/>
      <c r="L18" s="86"/>
      <c r="M18" s="86"/>
      <c r="N18" s="26"/>
    </row>
    <row r="19" spans="3:14" x14ac:dyDescent="0.25">
      <c r="C19" s="85"/>
      <c r="D19" s="86"/>
      <c r="E19" s="86"/>
      <c r="F19" s="86"/>
      <c r="G19" s="86"/>
      <c r="H19" s="86"/>
      <c r="I19" s="86"/>
      <c r="J19" s="86"/>
      <c r="K19" s="86"/>
      <c r="L19" s="86"/>
      <c r="M19" s="86"/>
      <c r="N19" s="26"/>
    </row>
    <row r="20" spans="3:14" x14ac:dyDescent="0.25">
      <c r="C20" s="85"/>
      <c r="D20" s="86"/>
      <c r="E20" s="86" t="s">
        <v>123</v>
      </c>
      <c r="F20" s="96">
        <f>_xlfn.T.DIST.RT(F13,F12)</f>
        <v>0.99780970137022595</v>
      </c>
      <c r="G20" s="220" t="s">
        <v>152</v>
      </c>
      <c r="H20" s="220"/>
      <c r="I20" s="220"/>
      <c r="J20" s="220"/>
      <c r="K20" s="86"/>
      <c r="L20" s="86"/>
      <c r="M20" s="86"/>
      <c r="N20" s="26"/>
    </row>
    <row r="21" spans="3:14" x14ac:dyDescent="0.25">
      <c r="C21" s="85"/>
      <c r="D21" s="86"/>
      <c r="E21" s="86"/>
      <c r="F21" s="86"/>
      <c r="G21" s="86"/>
      <c r="H21" s="86"/>
      <c r="I21" s="86"/>
      <c r="J21" s="86"/>
      <c r="K21" s="86"/>
      <c r="L21" s="86"/>
      <c r="M21" s="86"/>
      <c r="N21" s="26"/>
    </row>
    <row r="22" spans="3:14" x14ac:dyDescent="0.25">
      <c r="C22" s="85"/>
      <c r="D22" s="86"/>
      <c r="E22" s="86"/>
      <c r="F22" s="86"/>
      <c r="G22" s="86"/>
      <c r="H22" s="86"/>
      <c r="I22" s="86"/>
      <c r="J22" s="86"/>
      <c r="K22" s="86"/>
      <c r="L22" s="86"/>
      <c r="M22" s="86"/>
      <c r="N22" s="26"/>
    </row>
    <row r="23" spans="3:14" x14ac:dyDescent="0.25">
      <c r="C23" s="85" t="s">
        <v>127</v>
      </c>
      <c r="D23" s="82" t="s">
        <v>139</v>
      </c>
      <c r="E23" s="82" t="s">
        <v>121</v>
      </c>
      <c r="F23" s="82">
        <v>-1.71088</v>
      </c>
      <c r="G23" s="243" t="s">
        <v>124</v>
      </c>
      <c r="H23" s="243"/>
      <c r="I23" s="86"/>
      <c r="J23" s="86"/>
      <c r="K23" s="86"/>
      <c r="L23" s="86"/>
      <c r="M23" s="86"/>
      <c r="N23" s="26"/>
    </row>
    <row r="24" spans="3:14" x14ac:dyDescent="0.25">
      <c r="C24" s="85" t="s">
        <v>129</v>
      </c>
      <c r="D24" s="82" t="s">
        <v>123</v>
      </c>
      <c r="E24" s="96">
        <f>_xlfn.T.DIST.RT(ABS(F13),F12)</f>
        <v>2.1902986297740743E-3</v>
      </c>
      <c r="F24" s="82" t="s">
        <v>121</v>
      </c>
      <c r="G24" s="82">
        <v>0.5</v>
      </c>
      <c r="H24" s="82" t="s">
        <v>106</v>
      </c>
      <c r="I24" s="243" t="s">
        <v>124</v>
      </c>
      <c r="J24" s="243"/>
      <c r="K24" s="86">
        <f>IF(F13&lt;0,E30,F30)</f>
        <v>2.1902986297740743E-3</v>
      </c>
      <c r="L24" s="86"/>
      <c r="M24" s="86"/>
      <c r="N24" s="26"/>
    </row>
    <row r="25" spans="3:14" x14ac:dyDescent="0.25">
      <c r="C25" s="85"/>
      <c r="D25" s="86"/>
      <c r="E25" s="86"/>
      <c r="F25" s="86"/>
      <c r="G25" s="86"/>
      <c r="H25" s="86"/>
      <c r="I25" s="86"/>
      <c r="J25" s="86"/>
      <c r="K25" s="86"/>
      <c r="L25" s="86"/>
      <c r="M25" s="86"/>
      <c r="N25" s="26"/>
    </row>
    <row r="26" spans="3:14" x14ac:dyDescent="0.25">
      <c r="C26" s="85"/>
      <c r="D26" s="82" t="s">
        <v>159</v>
      </c>
      <c r="E26" s="82"/>
      <c r="F26" s="82"/>
      <c r="G26" s="82">
        <f>E7+F18*F11</f>
        <v>163.51164233958585</v>
      </c>
      <c r="H26" s="82">
        <f>E7-F18*F11</f>
        <v>178.08835766041418</v>
      </c>
      <c r="I26" s="86"/>
      <c r="J26" s="86"/>
      <c r="K26" s="86"/>
      <c r="L26" s="82" t="s">
        <v>68</v>
      </c>
      <c r="M26" s="82"/>
      <c r="N26" s="26"/>
    </row>
    <row r="27" spans="3:14" x14ac:dyDescent="0.25">
      <c r="C27" s="85" t="s">
        <v>130</v>
      </c>
      <c r="D27" s="82" t="s">
        <v>164</v>
      </c>
      <c r="E27" s="220" t="s">
        <v>163</v>
      </c>
      <c r="F27" s="220"/>
      <c r="G27" s="220"/>
      <c r="H27" s="243" t="s">
        <v>124</v>
      </c>
      <c r="I27" s="243"/>
      <c r="J27" s="243"/>
      <c r="K27" s="86"/>
      <c r="L27" s="82">
        <f>_xlfn.CONFIDENCE.T(2*E5,E8,E6)</f>
        <v>7.2883576604141647</v>
      </c>
      <c r="M27" s="82"/>
      <c r="N27" s="26"/>
    </row>
    <row r="28" spans="3:14" ht="15.75" thickBot="1" x14ac:dyDescent="0.3">
      <c r="C28" s="85"/>
      <c r="D28" s="86"/>
      <c r="E28" s="86"/>
      <c r="F28" s="86"/>
      <c r="G28" s="86"/>
      <c r="H28" s="86"/>
      <c r="I28" s="86"/>
      <c r="J28" s="86"/>
      <c r="K28" s="86"/>
      <c r="L28" s="82">
        <f>E7-L27</f>
        <v>163.51164233958585</v>
      </c>
      <c r="M28" s="82">
        <f>E7+L27</f>
        <v>178.08835766041418</v>
      </c>
      <c r="N28" s="26"/>
    </row>
    <row r="29" spans="3:14" x14ac:dyDescent="0.25">
      <c r="C29" s="25"/>
      <c r="D29" s="21"/>
      <c r="E29" s="227" t="s">
        <v>162</v>
      </c>
      <c r="F29" s="245"/>
      <c r="G29" s="21"/>
      <c r="H29" s="21"/>
      <c r="I29" s="21"/>
      <c r="J29" s="21"/>
      <c r="K29" s="21"/>
      <c r="L29" s="21"/>
      <c r="M29" s="21"/>
      <c r="N29" s="26"/>
    </row>
    <row r="30" spans="3:14" ht="15.75" thickBot="1" x14ac:dyDescent="0.3">
      <c r="C30" s="74"/>
      <c r="D30" s="27"/>
      <c r="E30" s="97">
        <f>_xlfn.T.DIST.RT(ABS(F13),F12)</f>
        <v>2.1902986297740743E-3</v>
      </c>
      <c r="F30" s="98">
        <f>1-E30</f>
        <v>0.99780970137022595</v>
      </c>
      <c r="G30" s="27"/>
      <c r="H30" s="27"/>
      <c r="I30" s="27"/>
      <c r="J30" s="27"/>
      <c r="K30" s="27"/>
      <c r="L30" s="27"/>
      <c r="M30" s="27"/>
      <c r="N30" s="28"/>
    </row>
  </sheetData>
  <mergeCells count="13">
    <mergeCell ref="E29:F29"/>
    <mergeCell ref="G20:J20"/>
    <mergeCell ref="G23:H23"/>
    <mergeCell ref="I24:J24"/>
    <mergeCell ref="E27:G27"/>
    <mergeCell ref="H27:J27"/>
    <mergeCell ref="D17:H17"/>
    <mergeCell ref="D3:E3"/>
    <mergeCell ref="D10:F10"/>
    <mergeCell ref="D11:E11"/>
    <mergeCell ref="D12:E12"/>
    <mergeCell ref="D13:E13"/>
    <mergeCell ref="D14:E14"/>
  </mergeCells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92F17B-9A8D-4204-8692-4A753B881BEA}">
  <dimension ref="A1"/>
  <sheetViews>
    <sheetView topLeftCell="A17" workbookViewId="0">
      <selection activeCell="I3" sqref="I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2FDB63-3BC4-4602-B133-9506ADA2588C}">
  <dimension ref="E2:I19"/>
  <sheetViews>
    <sheetView workbookViewId="0">
      <selection activeCell="G8" sqref="G8"/>
    </sheetView>
  </sheetViews>
  <sheetFormatPr defaultRowHeight="15" x14ac:dyDescent="0.25"/>
  <cols>
    <col min="5" max="6" width="9.140625" style="4"/>
    <col min="7" max="7" width="16.140625" customWidth="1"/>
    <col min="8" max="8" width="18.85546875" customWidth="1"/>
    <col min="9" max="9" width="11.85546875" customWidth="1"/>
  </cols>
  <sheetData>
    <row r="2" spans="5:9" ht="15.75" thickBot="1" x14ac:dyDescent="0.3">
      <c r="E2" s="4" t="s">
        <v>4</v>
      </c>
      <c r="F2" s="4" t="s">
        <v>18</v>
      </c>
    </row>
    <row r="3" spans="5:9" x14ac:dyDescent="0.25">
      <c r="E3" s="4">
        <v>27</v>
      </c>
      <c r="H3" s="3" t="s">
        <v>4</v>
      </c>
      <c r="I3" s="3"/>
    </row>
    <row r="4" spans="5:9" x14ac:dyDescent="0.25">
      <c r="E4" s="4">
        <v>93</v>
      </c>
      <c r="H4" s="1"/>
      <c r="I4" s="1"/>
    </row>
    <row r="5" spans="5:9" x14ac:dyDescent="0.25">
      <c r="E5" s="4">
        <v>143</v>
      </c>
      <c r="H5" s="1" t="s">
        <v>5</v>
      </c>
      <c r="I5" s="1">
        <v>503.94117647058823</v>
      </c>
    </row>
    <row r="6" spans="5:9" x14ac:dyDescent="0.25">
      <c r="E6" s="4">
        <v>185</v>
      </c>
      <c r="H6" s="1" t="s">
        <v>6</v>
      </c>
      <c r="I6" s="1">
        <v>73.603641942953033</v>
      </c>
    </row>
    <row r="7" spans="5:9" x14ac:dyDescent="0.25">
      <c r="E7" s="4">
        <v>198</v>
      </c>
      <c r="H7" s="1" t="s">
        <v>7</v>
      </c>
      <c r="I7" s="1">
        <v>505</v>
      </c>
    </row>
    <row r="8" spans="5:9" x14ac:dyDescent="0.25">
      <c r="E8" s="4">
        <v>340</v>
      </c>
      <c r="H8" s="1" t="s">
        <v>8</v>
      </c>
      <c r="I8" s="1" t="e">
        <v>#N/A</v>
      </c>
    </row>
    <row r="9" spans="5:9" x14ac:dyDescent="0.25">
      <c r="E9" s="4">
        <v>408</v>
      </c>
      <c r="H9" s="1" t="s">
        <v>9</v>
      </c>
      <c r="I9" s="1">
        <v>303.47559016093766</v>
      </c>
    </row>
    <row r="10" spans="5:9" x14ac:dyDescent="0.25">
      <c r="E10" s="4">
        <v>474</v>
      </c>
      <c r="H10" s="1" t="s">
        <v>10</v>
      </c>
      <c r="I10" s="1">
        <v>92097.433823529398</v>
      </c>
    </row>
    <row r="11" spans="5:9" x14ac:dyDescent="0.25">
      <c r="E11" s="4">
        <v>505</v>
      </c>
      <c r="H11" s="1" t="s">
        <v>11</v>
      </c>
      <c r="I11" s="1">
        <v>-1.3928743878702132</v>
      </c>
    </row>
    <row r="12" spans="5:9" x14ac:dyDescent="0.25">
      <c r="E12" s="4">
        <v>522</v>
      </c>
      <c r="H12" s="1" t="s">
        <v>12</v>
      </c>
      <c r="I12" s="1">
        <v>-9.7068278751270734E-2</v>
      </c>
    </row>
    <row r="13" spans="5:9" x14ac:dyDescent="0.25">
      <c r="E13" s="4">
        <v>664</v>
      </c>
      <c r="H13" s="1" t="s">
        <v>13</v>
      </c>
      <c r="I13" s="1">
        <v>923</v>
      </c>
    </row>
    <row r="14" spans="5:9" x14ac:dyDescent="0.25">
      <c r="E14" s="4">
        <v>710</v>
      </c>
      <c r="H14" s="1" t="s">
        <v>14</v>
      </c>
      <c r="I14" s="1">
        <v>27</v>
      </c>
    </row>
    <row r="15" spans="5:9" x14ac:dyDescent="0.25">
      <c r="E15" s="4">
        <v>804</v>
      </c>
      <c r="H15" s="1" t="s">
        <v>15</v>
      </c>
      <c r="I15" s="1">
        <v>950</v>
      </c>
    </row>
    <row r="16" spans="5:9" x14ac:dyDescent="0.25">
      <c r="E16" s="4">
        <v>825</v>
      </c>
      <c r="H16" s="1" t="s">
        <v>16</v>
      </c>
      <c r="I16" s="1">
        <v>8567</v>
      </c>
    </row>
    <row r="17" spans="5:9" ht="15.75" thickBot="1" x14ac:dyDescent="0.3">
      <c r="E17" s="4">
        <v>834</v>
      </c>
      <c r="H17" s="2" t="s">
        <v>17</v>
      </c>
      <c r="I17" s="2">
        <v>17</v>
      </c>
    </row>
    <row r="18" spans="5:9" x14ac:dyDescent="0.25">
      <c r="E18" s="4">
        <v>885</v>
      </c>
    </row>
    <row r="19" spans="5:9" x14ac:dyDescent="0.25">
      <c r="E19" s="4">
        <v>950</v>
      </c>
    </row>
  </sheetData>
  <sortState xmlns:xlrd2="http://schemas.microsoft.com/office/spreadsheetml/2017/richdata2" ref="E3:E19">
    <sortCondition ref="E3"/>
  </sortState>
  <pageMargins left="0.7" right="0.7" top="0.75" bottom="0.75" header="0.3" footer="0.3"/>
  <pageSetup paperSize="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12F403-8324-4B72-AB8A-4328CA552D64}">
  <dimension ref="D2:R44"/>
  <sheetViews>
    <sheetView topLeftCell="D1" workbookViewId="0">
      <selection activeCell="Q10" sqref="Q10"/>
    </sheetView>
  </sheetViews>
  <sheetFormatPr defaultRowHeight="15" x14ac:dyDescent="0.25"/>
  <cols>
    <col min="5" max="5" width="14.5703125" customWidth="1"/>
    <col min="6" max="6" width="11.7109375" customWidth="1"/>
    <col min="7" max="7" width="12" customWidth="1"/>
    <col min="16" max="16" width="20.42578125" customWidth="1"/>
    <col min="17" max="17" width="15.140625" customWidth="1"/>
    <col min="18" max="18" width="23.5703125" customWidth="1"/>
  </cols>
  <sheetData>
    <row r="2" spans="4:18" x14ac:dyDescent="0.25">
      <c r="D2" s="94"/>
      <c r="E2" s="94"/>
      <c r="F2" s="100" t="s">
        <v>170</v>
      </c>
      <c r="G2" s="101">
        <v>0</v>
      </c>
      <c r="H2" s="94"/>
      <c r="I2" s="94"/>
      <c r="J2" s="94"/>
      <c r="K2" s="94"/>
      <c r="L2" s="94"/>
    </row>
    <row r="3" spans="4:18" x14ac:dyDescent="0.25">
      <c r="D3" s="94"/>
      <c r="E3" s="94"/>
      <c r="F3" s="102" t="s">
        <v>171</v>
      </c>
      <c r="G3" s="103" t="s">
        <v>172</v>
      </c>
      <c r="H3" s="94"/>
      <c r="I3" s="94"/>
      <c r="J3" s="94"/>
      <c r="K3" s="94"/>
      <c r="L3" s="94"/>
    </row>
    <row r="4" spans="4:18" ht="15.75" thickBot="1" x14ac:dyDescent="0.3">
      <c r="D4" s="94"/>
      <c r="E4" s="94"/>
      <c r="H4" s="94"/>
      <c r="I4" s="94"/>
      <c r="J4" s="94"/>
      <c r="K4" s="94"/>
      <c r="L4" s="94"/>
    </row>
    <row r="5" spans="4:18" x14ac:dyDescent="0.25">
      <c r="D5" s="94"/>
      <c r="E5" s="94"/>
      <c r="F5" s="94" t="s">
        <v>165</v>
      </c>
      <c r="G5" s="94" t="s">
        <v>166</v>
      </c>
      <c r="H5" s="94"/>
      <c r="I5" s="94"/>
      <c r="J5" s="94" t="s">
        <v>106</v>
      </c>
      <c r="K5" s="94"/>
      <c r="L5" s="94"/>
      <c r="N5" s="22">
        <v>1</v>
      </c>
      <c r="O5" s="23">
        <v>9</v>
      </c>
      <c r="P5" s="23"/>
      <c r="Q5" s="23"/>
      <c r="R5" s="24"/>
    </row>
    <row r="6" spans="4:18" x14ac:dyDescent="0.25">
      <c r="D6" s="94"/>
      <c r="E6" s="94" t="s">
        <v>167</v>
      </c>
      <c r="F6" s="94">
        <v>21</v>
      </c>
      <c r="G6" s="94">
        <v>25</v>
      </c>
      <c r="H6" s="94"/>
      <c r="I6" s="94"/>
      <c r="J6" s="94">
        <v>0.05</v>
      </c>
      <c r="K6" s="94"/>
      <c r="L6" s="94"/>
      <c r="N6" s="25">
        <v>20</v>
      </c>
      <c r="O6" s="21">
        <v>8</v>
      </c>
      <c r="P6" s="21"/>
      <c r="Q6" s="21"/>
      <c r="R6" s="26"/>
    </row>
    <row r="7" spans="4:18" x14ac:dyDescent="0.25">
      <c r="D7" s="94"/>
      <c r="E7" s="94" t="s">
        <v>168</v>
      </c>
      <c r="F7" s="94">
        <v>3.27</v>
      </c>
      <c r="G7" s="94">
        <v>2.5299999999999998</v>
      </c>
      <c r="H7" s="94"/>
      <c r="I7" s="94"/>
      <c r="J7" s="94" t="s">
        <v>136</v>
      </c>
      <c r="K7" s="94"/>
      <c r="L7" s="94"/>
      <c r="N7" s="25">
        <v>30</v>
      </c>
      <c r="O7" s="21">
        <v>7</v>
      </c>
      <c r="P7" s="21"/>
      <c r="Q7" s="21"/>
      <c r="R7" s="26"/>
    </row>
    <row r="8" spans="4:18" x14ac:dyDescent="0.25">
      <c r="D8" s="94"/>
      <c r="E8" s="94" t="s">
        <v>169</v>
      </c>
      <c r="F8" s="94">
        <v>1.3</v>
      </c>
      <c r="G8" s="94">
        <v>1.1599999999999999</v>
      </c>
      <c r="H8" s="94"/>
      <c r="I8" s="94"/>
      <c r="J8" s="94">
        <f>F6+G6-2</f>
        <v>44</v>
      </c>
      <c r="K8" s="94"/>
      <c r="L8" s="94"/>
      <c r="N8" s="25">
        <v>40</v>
      </c>
      <c r="O8" s="21">
        <v>6</v>
      </c>
      <c r="P8" s="21"/>
      <c r="Q8" s="21"/>
      <c r="R8" s="26"/>
    </row>
    <row r="9" spans="4:18" x14ac:dyDescent="0.25">
      <c r="D9" s="94"/>
      <c r="E9" s="94"/>
      <c r="F9" s="94"/>
      <c r="G9" s="94"/>
      <c r="H9" s="94"/>
      <c r="I9" s="94"/>
      <c r="J9" s="94"/>
      <c r="K9" s="94"/>
      <c r="L9" s="94"/>
      <c r="N9" s="25">
        <v>50</v>
      </c>
      <c r="O9" s="21">
        <v>5</v>
      </c>
      <c r="P9" s="21"/>
      <c r="Q9" s="21">
        <f>_xlfn.T.TEST(N5:N13,O5:O13,2,2)</f>
        <v>3.5584419661799897E-4</v>
      </c>
      <c r="R9" s="26"/>
    </row>
    <row r="10" spans="4:18" x14ac:dyDescent="0.25">
      <c r="D10" s="94"/>
      <c r="E10" s="94" t="s">
        <v>173</v>
      </c>
      <c r="F10" s="94">
        <f>((F6-1)*POWER(F8,2) +(G6-1)*POWER(G8,2))/((F6-1)+(G6-1))</f>
        <v>1.5021454545454547</v>
      </c>
      <c r="G10" s="94"/>
      <c r="H10" s="94"/>
      <c r="I10" s="94"/>
      <c r="J10" s="94"/>
      <c r="K10" s="94"/>
      <c r="L10" s="94"/>
      <c r="N10" s="25">
        <v>60</v>
      </c>
      <c r="O10" s="21">
        <v>4</v>
      </c>
      <c r="P10" s="21"/>
      <c r="Q10" s="21"/>
      <c r="R10" s="26"/>
    </row>
    <row r="11" spans="4:18" x14ac:dyDescent="0.25">
      <c r="D11" s="94"/>
      <c r="E11" s="94" t="s">
        <v>139</v>
      </c>
      <c r="F11" s="94">
        <f>((F7-G7)-G2)/(SQRT(F10*(1/F6+1/G6)))</f>
        <v>2.0397477447024426</v>
      </c>
      <c r="G11" s="94"/>
      <c r="H11" s="94"/>
      <c r="I11" s="94"/>
      <c r="J11" s="94"/>
      <c r="K11" s="94"/>
      <c r="L11" s="94"/>
      <c r="N11" s="25">
        <v>70</v>
      </c>
      <c r="O11" s="21">
        <v>3</v>
      </c>
      <c r="P11" s="21"/>
      <c r="Q11" s="21"/>
      <c r="R11" s="26"/>
    </row>
    <row r="12" spans="4:18" x14ac:dyDescent="0.25">
      <c r="D12" s="94"/>
      <c r="E12" s="94"/>
      <c r="F12" s="94"/>
      <c r="G12" s="94"/>
      <c r="H12" s="94"/>
      <c r="I12" s="94"/>
      <c r="J12" s="94"/>
      <c r="K12" s="94"/>
      <c r="L12" s="94"/>
      <c r="N12" s="25">
        <v>80</v>
      </c>
      <c r="O12" s="21">
        <v>2</v>
      </c>
      <c r="P12" s="21"/>
      <c r="Q12" s="21"/>
      <c r="R12" s="26"/>
    </row>
    <row r="13" spans="4:18" x14ac:dyDescent="0.25">
      <c r="D13" s="94"/>
      <c r="E13" s="94"/>
      <c r="F13" s="94" t="s">
        <v>175</v>
      </c>
      <c r="G13" s="99">
        <f>-_xlfn.T.INV.2T(J6,J8)</f>
        <v>-2.0153675744437649</v>
      </c>
      <c r="H13" s="94"/>
      <c r="I13" s="94"/>
      <c r="J13" s="94"/>
      <c r="K13" s="94"/>
      <c r="L13" s="94"/>
      <c r="N13" s="25">
        <v>90</v>
      </c>
      <c r="O13" s="21">
        <v>1</v>
      </c>
      <c r="P13" s="21"/>
      <c r="Q13" s="21"/>
      <c r="R13" s="26"/>
    </row>
    <row r="14" spans="4:18" x14ac:dyDescent="0.25">
      <c r="D14" s="94"/>
      <c r="E14" s="94"/>
      <c r="F14" s="106" t="s">
        <v>175</v>
      </c>
      <c r="G14" s="94">
        <f>_xlfn.T.INV.2T(J6,J8)</f>
        <v>2.0153675744437649</v>
      </c>
      <c r="H14" s="94"/>
      <c r="I14" s="94"/>
      <c r="J14" s="94"/>
      <c r="K14" s="94"/>
      <c r="L14" s="94"/>
      <c r="N14" s="25"/>
      <c r="O14" s="21"/>
      <c r="P14" s="21"/>
      <c r="Q14" s="21"/>
      <c r="R14" s="26"/>
    </row>
    <row r="15" spans="4:18" x14ac:dyDescent="0.25">
      <c r="N15" s="25"/>
      <c r="O15" s="21"/>
      <c r="P15" s="21"/>
      <c r="Q15" s="21"/>
      <c r="R15" s="26"/>
    </row>
    <row r="16" spans="4:18" x14ac:dyDescent="0.25">
      <c r="F16" s="68" t="s">
        <v>174</v>
      </c>
      <c r="G16" s="68">
        <v>-2.0099999999999998</v>
      </c>
      <c r="H16" s="68" t="s">
        <v>156</v>
      </c>
      <c r="I16" s="68">
        <v>2.0099999999999998</v>
      </c>
      <c r="N16" s="25"/>
      <c r="O16" s="21"/>
      <c r="P16" s="115" t="s">
        <v>176</v>
      </c>
      <c r="Q16" s="116"/>
      <c r="R16" s="122"/>
    </row>
    <row r="17" spans="14:18" x14ac:dyDescent="0.25">
      <c r="N17" s="25"/>
      <c r="O17" s="21"/>
      <c r="P17" s="117"/>
      <c r="Q17" s="21"/>
      <c r="R17" s="26"/>
    </row>
    <row r="18" spans="14:18" x14ac:dyDescent="0.25">
      <c r="N18" s="25"/>
      <c r="O18" s="21"/>
      <c r="P18" s="118"/>
      <c r="Q18" s="113" t="s">
        <v>177</v>
      </c>
      <c r="R18" s="114" t="s">
        <v>178</v>
      </c>
    </row>
    <row r="19" spans="14:18" x14ac:dyDescent="0.25">
      <c r="N19" s="25"/>
      <c r="O19" s="21"/>
      <c r="P19" s="119" t="s">
        <v>5</v>
      </c>
      <c r="Q19" s="1">
        <v>49</v>
      </c>
      <c r="R19" s="111">
        <v>5</v>
      </c>
    </row>
    <row r="20" spans="14:18" x14ac:dyDescent="0.25">
      <c r="N20" s="25"/>
      <c r="O20" s="21"/>
      <c r="P20" s="119" t="s">
        <v>179</v>
      </c>
      <c r="Q20" s="1">
        <v>849</v>
      </c>
      <c r="R20" s="111">
        <v>7.5</v>
      </c>
    </row>
    <row r="21" spans="14:18" x14ac:dyDescent="0.25">
      <c r="N21" s="25"/>
      <c r="O21" s="21"/>
      <c r="P21" s="119" t="s">
        <v>180</v>
      </c>
      <c r="Q21" s="1">
        <v>9</v>
      </c>
      <c r="R21" s="111">
        <v>9</v>
      </c>
    </row>
    <row r="22" spans="14:18" x14ac:dyDescent="0.25">
      <c r="N22" s="25"/>
      <c r="O22" s="21"/>
      <c r="P22" s="119" t="s">
        <v>181</v>
      </c>
      <c r="Q22" s="1">
        <v>428.25</v>
      </c>
      <c r="R22" s="111"/>
    </row>
    <row r="23" spans="14:18" x14ac:dyDescent="0.25">
      <c r="N23" s="25"/>
      <c r="O23" s="21"/>
      <c r="P23" s="119" t="s">
        <v>182</v>
      </c>
      <c r="Q23" s="1">
        <v>0</v>
      </c>
      <c r="R23" s="111"/>
    </row>
    <row r="24" spans="14:18" x14ac:dyDescent="0.25">
      <c r="N24" s="25"/>
      <c r="O24" s="21"/>
      <c r="P24" s="119" t="s">
        <v>136</v>
      </c>
      <c r="Q24" s="1">
        <v>16</v>
      </c>
      <c r="R24" s="111"/>
    </row>
    <row r="25" spans="14:18" x14ac:dyDescent="0.25">
      <c r="N25" s="25"/>
      <c r="O25" s="21"/>
      <c r="P25" s="119" t="s">
        <v>183</v>
      </c>
      <c r="Q25" s="1">
        <v>4.5103500355385187</v>
      </c>
      <c r="R25" s="111"/>
    </row>
    <row r="26" spans="14:18" x14ac:dyDescent="0.25">
      <c r="N26" s="25"/>
      <c r="O26" s="21"/>
      <c r="P26" s="119" t="s">
        <v>184</v>
      </c>
      <c r="Q26" s="1">
        <v>1.7792209830899949E-4</v>
      </c>
      <c r="R26" s="111"/>
    </row>
    <row r="27" spans="14:18" x14ac:dyDescent="0.25">
      <c r="N27" s="25"/>
      <c r="O27" s="21"/>
      <c r="P27" s="119" t="s">
        <v>185</v>
      </c>
      <c r="Q27" s="1">
        <v>1.7458836762762506</v>
      </c>
      <c r="R27" s="111"/>
    </row>
    <row r="28" spans="14:18" x14ac:dyDescent="0.25">
      <c r="N28" s="25"/>
      <c r="O28" s="21"/>
      <c r="P28" s="119" t="s">
        <v>186</v>
      </c>
      <c r="Q28" s="1">
        <v>3.5584419661799897E-4</v>
      </c>
      <c r="R28" s="111"/>
    </row>
    <row r="29" spans="14:18" x14ac:dyDescent="0.25">
      <c r="N29" s="25"/>
      <c r="O29" s="21"/>
      <c r="P29" s="120" t="s">
        <v>187</v>
      </c>
      <c r="Q29" s="121">
        <v>2.119905299221255</v>
      </c>
      <c r="R29" s="123"/>
    </row>
    <row r="30" spans="14:18" x14ac:dyDescent="0.25">
      <c r="N30" s="25"/>
      <c r="O30" s="21"/>
      <c r="P30" s="21"/>
      <c r="Q30" s="21"/>
      <c r="R30" s="26"/>
    </row>
    <row r="31" spans="14:18" x14ac:dyDescent="0.25">
      <c r="N31" s="25"/>
      <c r="O31" s="21"/>
      <c r="P31" s="21"/>
      <c r="Q31" s="21"/>
      <c r="R31" s="26"/>
    </row>
    <row r="32" spans="14:18" x14ac:dyDescent="0.25">
      <c r="N32" s="25"/>
      <c r="O32" s="21"/>
      <c r="P32" s="115" t="s">
        <v>188</v>
      </c>
      <c r="Q32" s="116"/>
      <c r="R32" s="122"/>
    </row>
    <row r="33" spans="5:18" x14ac:dyDescent="0.25">
      <c r="N33" s="25"/>
      <c r="O33" s="21"/>
      <c r="P33" s="117"/>
      <c r="Q33" s="21"/>
      <c r="R33" s="26"/>
    </row>
    <row r="34" spans="5:18" x14ac:dyDescent="0.25">
      <c r="E34" s="68">
        <f>(3.27-2.53) + 2.021*SQRT((POWER(1.32,2))/21 + (POWER(1.16,2)/25))</f>
        <v>1.4874843523912151</v>
      </c>
      <c r="N34" s="25"/>
      <c r="O34" s="21"/>
      <c r="P34" s="118"/>
      <c r="Q34" s="113" t="s">
        <v>177</v>
      </c>
      <c r="R34" s="114" t="s">
        <v>178</v>
      </c>
    </row>
    <row r="35" spans="5:18" x14ac:dyDescent="0.25">
      <c r="E35" s="68">
        <f>(3.27-2.53) - 2.021*SQRT((POWER(1.32,2))/21 + (POWER(1.16,2)/25))</f>
        <v>-7.4843523912148102E-3</v>
      </c>
      <c r="N35" s="25"/>
      <c r="O35" s="21"/>
      <c r="P35" s="119" t="s">
        <v>5</v>
      </c>
      <c r="Q35" s="1">
        <v>49</v>
      </c>
      <c r="R35" s="111">
        <v>5</v>
      </c>
    </row>
    <row r="36" spans="5:18" x14ac:dyDescent="0.25">
      <c r="N36" s="25"/>
      <c r="O36" s="21"/>
      <c r="P36" s="119" t="s">
        <v>179</v>
      </c>
      <c r="Q36" s="1">
        <v>849</v>
      </c>
      <c r="R36" s="111">
        <v>7.5</v>
      </c>
    </row>
    <row r="37" spans="5:18" x14ac:dyDescent="0.25">
      <c r="N37" s="25"/>
      <c r="O37" s="21"/>
      <c r="P37" s="119" t="s">
        <v>180</v>
      </c>
      <c r="Q37" s="1">
        <v>9</v>
      </c>
      <c r="R37" s="111">
        <v>9</v>
      </c>
    </row>
    <row r="38" spans="5:18" x14ac:dyDescent="0.25">
      <c r="N38" s="25"/>
      <c r="O38" s="21"/>
      <c r="P38" s="119" t="s">
        <v>182</v>
      </c>
      <c r="Q38" s="1">
        <v>0</v>
      </c>
      <c r="R38" s="111"/>
    </row>
    <row r="39" spans="5:18" x14ac:dyDescent="0.25">
      <c r="N39" s="25"/>
      <c r="O39" s="21"/>
      <c r="P39" s="119" t="s">
        <v>136</v>
      </c>
      <c r="Q39" s="1">
        <v>8</v>
      </c>
      <c r="R39" s="111"/>
    </row>
    <row r="40" spans="5:18" x14ac:dyDescent="0.25">
      <c r="N40" s="25"/>
      <c r="O40" s="21"/>
      <c r="P40" s="119" t="s">
        <v>183</v>
      </c>
      <c r="Q40" s="1">
        <v>4.5103500355385187</v>
      </c>
      <c r="R40" s="111"/>
    </row>
    <row r="41" spans="5:18" x14ac:dyDescent="0.25">
      <c r="N41" s="25"/>
      <c r="O41" s="21"/>
      <c r="P41" s="119" t="s">
        <v>184</v>
      </c>
      <c r="Q41" s="1">
        <v>9.8744986656553531E-4</v>
      </c>
      <c r="R41" s="111"/>
    </row>
    <row r="42" spans="5:18" x14ac:dyDescent="0.25">
      <c r="N42" s="25"/>
      <c r="O42" s="21"/>
      <c r="P42" s="119" t="s">
        <v>185</v>
      </c>
      <c r="Q42" s="1">
        <v>1.8595480375308981</v>
      </c>
      <c r="R42" s="111"/>
    </row>
    <row r="43" spans="5:18" x14ac:dyDescent="0.25">
      <c r="N43" s="25"/>
      <c r="O43" s="21"/>
      <c r="P43" s="119" t="s">
        <v>186</v>
      </c>
      <c r="Q43" s="1">
        <v>1.9748997331310706E-3</v>
      </c>
      <c r="R43" s="111"/>
    </row>
    <row r="44" spans="5:18" ht="15.75" thickBot="1" x14ac:dyDescent="0.3">
      <c r="N44" s="74"/>
      <c r="O44" s="27"/>
      <c r="P44" s="124" t="s">
        <v>187</v>
      </c>
      <c r="Q44" s="2">
        <v>2.3060041352041671</v>
      </c>
      <c r="R44" s="112"/>
    </row>
  </sheetData>
  <pageMargins left="0.7" right="0.7" top="0.75" bottom="0.75" header="0.3" footer="0.3"/>
  <pageSetup paperSize="9"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B276B2-E4E7-41E4-AE92-125A013C7E3A}">
  <dimension ref="E4:O27"/>
  <sheetViews>
    <sheetView topLeftCell="A7" workbookViewId="0">
      <selection activeCell="K6" sqref="K6"/>
    </sheetView>
  </sheetViews>
  <sheetFormatPr defaultRowHeight="15" x14ac:dyDescent="0.25"/>
  <cols>
    <col min="5" max="5" width="16.7109375" customWidth="1"/>
    <col min="6" max="6" width="11.140625" customWidth="1"/>
    <col min="7" max="7" width="11.5703125" customWidth="1"/>
    <col min="8" max="8" width="12.5703125" customWidth="1"/>
    <col min="13" max="14" width="22.140625" customWidth="1"/>
  </cols>
  <sheetData>
    <row r="4" spans="5:15" x14ac:dyDescent="0.25">
      <c r="E4" s="8"/>
      <c r="F4" s="246" t="s">
        <v>195</v>
      </c>
      <c r="G4" s="246"/>
      <c r="H4" s="8"/>
    </row>
    <row r="5" spans="5:15" x14ac:dyDescent="0.25">
      <c r="E5" s="8" t="s">
        <v>189</v>
      </c>
      <c r="F5" s="8" t="s">
        <v>198</v>
      </c>
      <c r="G5" s="8" t="s">
        <v>197</v>
      </c>
      <c r="H5" s="8" t="s">
        <v>196</v>
      </c>
      <c r="J5" s="129" t="s">
        <v>199</v>
      </c>
      <c r="K5" s="105">
        <f>AVERAGE(H6:H10)</f>
        <v>-4.2</v>
      </c>
    </row>
    <row r="6" spans="5:15" x14ac:dyDescent="0.25">
      <c r="E6" s="8" t="s">
        <v>190</v>
      </c>
      <c r="F6" s="8">
        <v>6</v>
      </c>
      <c r="G6" s="8">
        <v>4</v>
      </c>
      <c r="H6" s="8">
        <f>G6-F6</f>
        <v>-2</v>
      </c>
      <c r="J6" s="104" t="s">
        <v>200</v>
      </c>
      <c r="K6" s="105">
        <f>_xlfn.STDEV.S(H6:H10)</f>
        <v>5.6745043836444431</v>
      </c>
    </row>
    <row r="7" spans="5:15" x14ac:dyDescent="0.25">
      <c r="E7" s="8" t="s">
        <v>191</v>
      </c>
      <c r="F7" s="8">
        <v>20</v>
      </c>
      <c r="G7" s="8">
        <v>6</v>
      </c>
      <c r="H7" s="8">
        <f t="shared" ref="H7:H10" si="0">G7-F7</f>
        <v>-14</v>
      </c>
    </row>
    <row r="8" spans="5:15" x14ac:dyDescent="0.25">
      <c r="E8" s="8" t="s">
        <v>192</v>
      </c>
      <c r="F8" s="8">
        <v>3</v>
      </c>
      <c r="G8" s="8">
        <v>2</v>
      </c>
      <c r="H8" s="8">
        <f t="shared" si="0"/>
        <v>-1</v>
      </c>
      <c r="J8" s="104" t="s">
        <v>201</v>
      </c>
      <c r="K8" s="105">
        <f>COUNT(H6:H10)-1</f>
        <v>4</v>
      </c>
    </row>
    <row r="9" spans="5:15" x14ac:dyDescent="0.25">
      <c r="E9" s="8" t="s">
        <v>193</v>
      </c>
      <c r="F9" s="8">
        <v>0</v>
      </c>
      <c r="G9" s="8">
        <v>0</v>
      </c>
      <c r="H9" s="8">
        <f t="shared" si="0"/>
        <v>0</v>
      </c>
      <c r="J9" s="129" t="s">
        <v>106</v>
      </c>
      <c r="K9" s="105">
        <v>0.01</v>
      </c>
    </row>
    <row r="10" spans="5:15" ht="15.75" thickBot="1" x14ac:dyDescent="0.3">
      <c r="E10" s="59" t="s">
        <v>194</v>
      </c>
      <c r="F10" s="59">
        <v>4</v>
      </c>
      <c r="G10" s="59">
        <v>0</v>
      </c>
      <c r="H10" s="59">
        <f t="shared" si="0"/>
        <v>-4</v>
      </c>
    </row>
    <row r="11" spans="5:15" ht="15.75" thickBot="1" x14ac:dyDescent="0.3">
      <c r="E11" s="125" t="s">
        <v>25</v>
      </c>
      <c r="F11" s="128"/>
      <c r="G11" s="127"/>
      <c r="H11" s="126">
        <f>SUM(H6:H10)</f>
        <v>-21</v>
      </c>
      <c r="J11" s="129" t="s">
        <v>37</v>
      </c>
      <c r="K11" s="105">
        <v>5</v>
      </c>
    </row>
    <row r="14" spans="5:15" x14ac:dyDescent="0.25">
      <c r="E14" s="106" t="s">
        <v>203</v>
      </c>
      <c r="F14" s="106">
        <v>0</v>
      </c>
      <c r="M14" t="s">
        <v>234</v>
      </c>
    </row>
    <row r="15" spans="5:15" ht="15.75" thickBot="1" x14ac:dyDescent="0.3">
      <c r="E15" s="106" t="s">
        <v>204</v>
      </c>
      <c r="F15" s="106">
        <v>0</v>
      </c>
    </row>
    <row r="16" spans="5:15" x14ac:dyDescent="0.25">
      <c r="E16" s="106"/>
      <c r="F16" s="106"/>
      <c r="M16" s="6"/>
      <c r="N16" s="6" t="s">
        <v>177</v>
      </c>
      <c r="O16" s="6" t="s">
        <v>178</v>
      </c>
    </row>
    <row r="17" spans="5:15" x14ac:dyDescent="0.25">
      <c r="E17" s="132" t="s">
        <v>139</v>
      </c>
      <c r="F17" s="132">
        <f>(K5-F14)/(K6/SQRT(5))</f>
        <v>-1.6550318531021115</v>
      </c>
      <c r="M17" s="1" t="s">
        <v>5</v>
      </c>
      <c r="N17" s="1">
        <v>6.6</v>
      </c>
      <c r="O17" s="1">
        <v>2.4</v>
      </c>
    </row>
    <row r="18" spans="5:15" x14ac:dyDescent="0.25">
      <c r="E18" s="106"/>
      <c r="F18" s="106"/>
      <c r="M18" s="1" t="s">
        <v>179</v>
      </c>
      <c r="N18" s="1">
        <v>60.8</v>
      </c>
      <c r="O18" s="1">
        <v>6.8</v>
      </c>
    </row>
    <row r="19" spans="5:15" x14ac:dyDescent="0.25">
      <c r="E19" s="106" t="s">
        <v>202</v>
      </c>
      <c r="F19" s="132">
        <f>-_xlfn.T.INV.2T(K9,K8)</f>
        <v>-4.604094871349993</v>
      </c>
      <c r="M19" s="1" t="s">
        <v>180</v>
      </c>
      <c r="N19" s="1">
        <v>5</v>
      </c>
      <c r="O19" s="1">
        <v>5</v>
      </c>
    </row>
    <row r="20" spans="5:15" x14ac:dyDescent="0.25">
      <c r="E20" s="106" t="s">
        <v>202</v>
      </c>
      <c r="F20" s="132">
        <f>_xlfn.T.INV.2T(K9,K8)</f>
        <v>4.604094871349993</v>
      </c>
      <c r="M20" s="1" t="s">
        <v>235</v>
      </c>
      <c r="N20" s="1">
        <v>0.87049648212212605</v>
      </c>
      <c r="O20" s="1"/>
    </row>
    <row r="21" spans="5:15" x14ac:dyDescent="0.25">
      <c r="M21" s="1" t="s">
        <v>182</v>
      </c>
      <c r="N21" s="1">
        <v>0</v>
      </c>
      <c r="O21" s="1"/>
    </row>
    <row r="22" spans="5:15" x14ac:dyDescent="0.25">
      <c r="M22" s="1" t="s">
        <v>136</v>
      </c>
      <c r="N22" s="1">
        <v>4</v>
      </c>
      <c r="O22" s="1"/>
    </row>
    <row r="23" spans="5:15" x14ac:dyDescent="0.25">
      <c r="M23" s="1" t="s">
        <v>183</v>
      </c>
      <c r="N23" s="134">
        <v>1.6550318531021115</v>
      </c>
      <c r="O23" s="1"/>
    </row>
    <row r="24" spans="5:15" x14ac:dyDescent="0.25">
      <c r="M24" s="1" t="s">
        <v>184</v>
      </c>
      <c r="N24" s="1">
        <v>8.6630157649266751E-2</v>
      </c>
      <c r="O24" s="1"/>
    </row>
    <row r="25" spans="5:15" x14ac:dyDescent="0.25">
      <c r="M25" s="1" t="s">
        <v>185</v>
      </c>
      <c r="N25" s="1">
        <v>3.7469473879791968</v>
      </c>
      <c r="O25" s="1"/>
    </row>
    <row r="26" spans="5:15" x14ac:dyDescent="0.25">
      <c r="M26" s="1" t="s">
        <v>186</v>
      </c>
      <c r="N26" s="1">
        <v>0.1732603152985335</v>
      </c>
      <c r="O26" s="1"/>
    </row>
    <row r="27" spans="5:15" ht="15.75" thickBot="1" x14ac:dyDescent="0.3">
      <c r="M27" s="2" t="s">
        <v>187</v>
      </c>
      <c r="N27" s="135">
        <v>4.604094871349993</v>
      </c>
      <c r="O27" s="2"/>
    </row>
  </sheetData>
  <mergeCells count="1">
    <mergeCell ref="F4:G4"/>
  </mergeCells>
  <phoneticPr fontId="3" type="noConversion"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9A4B9D-6419-4098-9BDC-A076BC5EDD97}">
  <dimension ref="D3:L13"/>
  <sheetViews>
    <sheetView workbookViewId="0">
      <selection activeCell="J13" sqref="J13"/>
    </sheetView>
  </sheetViews>
  <sheetFormatPr defaultRowHeight="15" x14ac:dyDescent="0.25"/>
  <cols>
    <col min="4" max="4" width="15.28515625" customWidth="1"/>
    <col min="9" max="9" width="16" customWidth="1"/>
  </cols>
  <sheetData>
    <row r="3" spans="4:12" x14ac:dyDescent="0.25">
      <c r="D3" s="106"/>
      <c r="E3" s="106" t="s">
        <v>165</v>
      </c>
      <c r="F3" s="106" t="s">
        <v>166</v>
      </c>
      <c r="I3" s="106" t="s">
        <v>106</v>
      </c>
      <c r="J3" s="106" t="s">
        <v>98</v>
      </c>
      <c r="K3" s="219" t="s">
        <v>207</v>
      </c>
      <c r="L3" s="219"/>
    </row>
    <row r="4" spans="4:12" x14ac:dyDescent="0.25">
      <c r="D4" s="106" t="s">
        <v>167</v>
      </c>
      <c r="E4" s="106">
        <v>21</v>
      </c>
      <c r="F4" s="106">
        <v>25</v>
      </c>
      <c r="I4" s="106">
        <v>0.05</v>
      </c>
      <c r="J4" s="106">
        <v>2.5000000000000001E-2</v>
      </c>
      <c r="K4" s="219">
        <v>2.3273000000000001</v>
      </c>
      <c r="L4" s="219"/>
    </row>
    <row r="5" spans="4:12" x14ac:dyDescent="0.25">
      <c r="D5" s="106" t="s">
        <v>168</v>
      </c>
      <c r="E5" s="106">
        <v>3.27</v>
      </c>
      <c r="F5" s="106">
        <v>2.5299999999999998</v>
      </c>
      <c r="I5" s="106"/>
      <c r="J5" s="106"/>
    </row>
    <row r="6" spans="4:12" x14ac:dyDescent="0.25">
      <c r="D6" s="106" t="s">
        <v>169</v>
      </c>
      <c r="E6" s="106">
        <v>1.3</v>
      </c>
      <c r="F6" s="106">
        <v>1.1599999999999999</v>
      </c>
      <c r="I6" s="106" t="s">
        <v>205</v>
      </c>
      <c r="J6" s="106">
        <f>E4-1</f>
        <v>20</v>
      </c>
    </row>
    <row r="7" spans="4:12" x14ac:dyDescent="0.25">
      <c r="I7" s="106" t="s">
        <v>206</v>
      </c>
      <c r="J7" s="106">
        <f>F4-1</f>
        <v>24</v>
      </c>
    </row>
    <row r="11" spans="4:12" x14ac:dyDescent="0.25">
      <c r="G11" s="68" t="s">
        <v>208</v>
      </c>
      <c r="H11" s="68">
        <f>POWER(E6,2)/POWER(F6,2)</f>
        <v>1.2559453032104639</v>
      </c>
    </row>
    <row r="13" spans="4:12" x14ac:dyDescent="0.25">
      <c r="F13" s="247" t="s">
        <v>202</v>
      </c>
      <c r="G13" s="247"/>
      <c r="H13" s="68">
        <f>_xlfn.F.INV.RT(J4,J6,J7)</f>
        <v>2.3272714446086176</v>
      </c>
    </row>
  </sheetData>
  <mergeCells count="3">
    <mergeCell ref="K3:L3"/>
    <mergeCell ref="K4:L4"/>
    <mergeCell ref="F13:G13"/>
  </mergeCells>
  <pageMargins left="0.7" right="0.7" top="0.75" bottom="0.75" header="0.3" footer="0.3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70CA1-996E-4D94-98FD-578E12886FAB}">
  <dimension ref="G3:P20"/>
  <sheetViews>
    <sheetView workbookViewId="0">
      <selection activeCell="L15" sqref="L15"/>
    </sheetView>
  </sheetViews>
  <sheetFormatPr defaultRowHeight="15" x14ac:dyDescent="0.25"/>
  <sheetData>
    <row r="3" spans="7:16" x14ac:dyDescent="0.25">
      <c r="G3" s="106"/>
      <c r="H3" s="106"/>
      <c r="I3" s="106"/>
      <c r="J3" s="106"/>
      <c r="K3" s="106"/>
      <c r="L3" s="106"/>
      <c r="M3" s="106"/>
      <c r="N3" s="130">
        <v>0.4</v>
      </c>
      <c r="O3" s="106"/>
    </row>
    <row r="4" spans="7:16" x14ac:dyDescent="0.25">
      <c r="G4" s="219" t="s">
        <v>209</v>
      </c>
      <c r="H4" s="219"/>
      <c r="I4" s="219"/>
      <c r="J4" s="219"/>
      <c r="K4" s="219"/>
      <c r="L4" s="219"/>
      <c r="M4" s="106" t="s">
        <v>38</v>
      </c>
      <c r="N4" s="106">
        <v>0.4</v>
      </c>
      <c r="O4" s="106"/>
    </row>
    <row r="5" spans="7:16" x14ac:dyDescent="0.25">
      <c r="G5" s="106"/>
      <c r="H5" s="106"/>
      <c r="I5" s="106"/>
      <c r="J5" s="106"/>
      <c r="K5" s="106"/>
      <c r="L5" s="106"/>
      <c r="M5" s="106"/>
      <c r="N5" s="106"/>
      <c r="O5" s="106"/>
    </row>
    <row r="6" spans="7:16" x14ac:dyDescent="0.25">
      <c r="G6" s="106"/>
      <c r="H6" s="219" t="s">
        <v>211</v>
      </c>
      <c r="I6" s="219"/>
      <c r="J6" s="219"/>
      <c r="K6" s="219"/>
      <c r="L6" s="219"/>
      <c r="M6" s="106" t="s">
        <v>37</v>
      </c>
      <c r="N6" s="106">
        <v>200</v>
      </c>
      <c r="O6" s="106"/>
    </row>
    <row r="7" spans="7:16" x14ac:dyDescent="0.25">
      <c r="G7" s="106"/>
      <c r="H7" s="219" t="s">
        <v>212</v>
      </c>
      <c r="I7" s="219"/>
      <c r="J7" s="219"/>
      <c r="K7" s="219"/>
      <c r="L7" s="219"/>
      <c r="M7" s="106" t="s">
        <v>210</v>
      </c>
      <c r="N7" s="106">
        <v>0.4</v>
      </c>
      <c r="O7" s="106">
        <v>0.45</v>
      </c>
      <c r="P7" s="106" t="s">
        <v>103</v>
      </c>
    </row>
    <row r="8" spans="7:16" ht="15.75" thickBot="1" x14ac:dyDescent="0.3">
      <c r="G8" s="106"/>
      <c r="H8" s="106"/>
      <c r="I8" s="106"/>
      <c r="J8" s="106"/>
      <c r="K8" s="106"/>
      <c r="L8" s="106"/>
      <c r="M8" s="106"/>
      <c r="N8" s="106"/>
      <c r="O8" s="106"/>
      <c r="P8" s="106"/>
    </row>
    <row r="9" spans="7:16" x14ac:dyDescent="0.25">
      <c r="G9" s="106"/>
      <c r="H9" s="106"/>
      <c r="I9" s="236" t="s">
        <v>243</v>
      </c>
      <c r="J9" s="237"/>
      <c r="K9" s="237"/>
      <c r="L9" s="237"/>
      <c r="M9" s="238"/>
      <c r="N9" s="106"/>
      <c r="O9" s="106"/>
      <c r="P9" s="106"/>
    </row>
    <row r="10" spans="7:16" x14ac:dyDescent="0.25">
      <c r="G10" s="106"/>
      <c r="H10" s="106"/>
      <c r="I10" s="248"/>
      <c r="J10" s="249"/>
      <c r="K10" s="249"/>
      <c r="L10" s="249"/>
      <c r="M10" s="250"/>
      <c r="N10" s="106"/>
      <c r="O10" s="106"/>
      <c r="P10" s="106"/>
    </row>
    <row r="11" spans="7:16" ht="15.75" thickBot="1" x14ac:dyDescent="0.3">
      <c r="I11" s="239"/>
      <c r="J11" s="240"/>
      <c r="K11" s="240"/>
      <c r="L11" s="240"/>
      <c r="M11" s="241"/>
    </row>
    <row r="13" spans="7:16" x14ac:dyDescent="0.25">
      <c r="J13" s="68" t="s">
        <v>213</v>
      </c>
      <c r="K13" s="68" t="s">
        <v>214</v>
      </c>
      <c r="L13" s="68">
        <f>SQRT((N4*(1-N4)/N6))</f>
        <v>3.4641016151377546E-2</v>
      </c>
    </row>
    <row r="15" spans="7:16" x14ac:dyDescent="0.25">
      <c r="I15" s="219" t="s">
        <v>215</v>
      </c>
      <c r="J15" s="219"/>
      <c r="K15" s="133" t="s">
        <v>216</v>
      </c>
      <c r="L15" s="132">
        <f>(N7-N4)/L13</f>
        <v>0</v>
      </c>
      <c r="M15" s="132" t="s">
        <v>218</v>
      </c>
      <c r="N15" s="132">
        <f>(O7-N4)/L13</f>
        <v>1.4433756729740641</v>
      </c>
      <c r="O15" s="68" t="s">
        <v>217</v>
      </c>
    </row>
    <row r="18" spans="9:12" x14ac:dyDescent="0.25">
      <c r="I18" s="106" t="s">
        <v>220</v>
      </c>
      <c r="J18" s="106">
        <v>0.5</v>
      </c>
      <c r="K18" s="14" t="s">
        <v>76</v>
      </c>
      <c r="L18" s="106"/>
    </row>
    <row r="19" spans="9:12" x14ac:dyDescent="0.25">
      <c r="I19" s="106" t="s">
        <v>221</v>
      </c>
      <c r="J19" s="106">
        <v>0.92510000000000003</v>
      </c>
      <c r="K19" s="14" t="s">
        <v>76</v>
      </c>
      <c r="L19" s="106"/>
    </row>
    <row r="20" spans="9:12" x14ac:dyDescent="0.25">
      <c r="I20" s="247" t="s">
        <v>219</v>
      </c>
      <c r="J20" s="247"/>
      <c r="K20" s="132">
        <f>J19-J18</f>
        <v>0.42510000000000003</v>
      </c>
      <c r="L20" s="106"/>
    </row>
  </sheetData>
  <mergeCells count="6">
    <mergeCell ref="I20:J20"/>
    <mergeCell ref="I9:M11"/>
    <mergeCell ref="G4:L4"/>
    <mergeCell ref="H7:L7"/>
    <mergeCell ref="H6:L6"/>
    <mergeCell ref="I15:J15"/>
  </mergeCells>
  <pageMargins left="0.7" right="0.7" top="0.75" bottom="0.75" header="0.3" footer="0.3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3C5140-1FD6-46EE-9C0A-284DC437DCE5}">
  <dimension ref="G1:N19"/>
  <sheetViews>
    <sheetView workbookViewId="0">
      <selection activeCell="J13" sqref="J13"/>
    </sheetView>
  </sheetViews>
  <sheetFormatPr defaultRowHeight="15" x14ac:dyDescent="0.25"/>
  <sheetData>
    <row r="1" spans="7:14" ht="15.75" thickBot="1" x14ac:dyDescent="0.3"/>
    <row r="2" spans="7:14" x14ac:dyDescent="0.25">
      <c r="G2" s="22"/>
      <c r="H2" s="23"/>
      <c r="I2" s="23"/>
      <c r="J2" s="23"/>
      <c r="K2" s="23"/>
      <c r="L2" s="23"/>
      <c r="M2" s="23"/>
      <c r="N2" s="24"/>
    </row>
    <row r="3" spans="7:14" x14ac:dyDescent="0.25">
      <c r="G3" s="25"/>
      <c r="H3" s="232" t="s">
        <v>222</v>
      </c>
      <c r="I3" s="232"/>
      <c r="J3" s="21">
        <v>100</v>
      </c>
      <c r="K3" s="21"/>
      <c r="L3" s="21"/>
      <c r="M3" s="21"/>
      <c r="N3" s="26"/>
    </row>
    <row r="4" spans="7:14" x14ac:dyDescent="0.25">
      <c r="G4" s="25"/>
      <c r="H4" s="232" t="s">
        <v>223</v>
      </c>
      <c r="I4" s="232"/>
      <c r="J4" s="21">
        <v>25</v>
      </c>
      <c r="K4" s="21"/>
      <c r="L4" s="21"/>
      <c r="M4" s="21"/>
      <c r="N4" s="26"/>
    </row>
    <row r="5" spans="7:14" x14ac:dyDescent="0.25">
      <c r="G5" s="25"/>
      <c r="H5" s="21"/>
      <c r="I5" s="21"/>
      <c r="J5" s="21"/>
      <c r="K5" s="21"/>
      <c r="L5" s="21"/>
      <c r="M5" s="21"/>
      <c r="N5" s="26"/>
    </row>
    <row r="6" spans="7:14" x14ac:dyDescent="0.25">
      <c r="G6" s="25"/>
      <c r="H6" s="232" t="s">
        <v>224</v>
      </c>
      <c r="I6" s="232"/>
      <c r="J6" s="232"/>
      <c r="K6" s="21">
        <v>-1.96</v>
      </c>
      <c r="L6" s="21">
        <v>1.96</v>
      </c>
      <c r="M6" s="21"/>
      <c r="N6" s="26"/>
    </row>
    <row r="7" spans="7:14" x14ac:dyDescent="0.25">
      <c r="G7" s="25"/>
      <c r="H7" s="21"/>
      <c r="I7" s="21"/>
      <c r="J7" s="21"/>
      <c r="K7" s="21"/>
      <c r="L7" s="21"/>
      <c r="M7" s="21"/>
      <c r="N7" s="26"/>
    </row>
    <row r="8" spans="7:14" ht="15.75" thickBot="1" x14ac:dyDescent="0.3">
      <c r="G8" s="25"/>
      <c r="H8" s="21"/>
      <c r="I8" s="21"/>
      <c r="J8" s="21"/>
      <c r="K8" s="21"/>
      <c r="L8" s="21"/>
      <c r="M8" s="21"/>
      <c r="N8" s="26"/>
    </row>
    <row r="9" spans="7:14" x14ac:dyDescent="0.25">
      <c r="G9" s="25"/>
      <c r="H9" s="236" t="s">
        <v>248</v>
      </c>
      <c r="I9" s="237"/>
      <c r="J9" s="237"/>
      <c r="K9" s="237"/>
      <c r="L9" s="237"/>
      <c r="M9" s="238"/>
      <c r="N9" s="26"/>
    </row>
    <row r="10" spans="7:14" x14ac:dyDescent="0.25">
      <c r="G10" s="25"/>
      <c r="H10" s="248"/>
      <c r="I10" s="249"/>
      <c r="J10" s="249"/>
      <c r="K10" s="249"/>
      <c r="L10" s="249"/>
      <c r="M10" s="250"/>
      <c r="N10" s="26"/>
    </row>
    <row r="11" spans="7:14" ht="15.75" thickBot="1" x14ac:dyDescent="0.3">
      <c r="G11" s="25"/>
      <c r="H11" s="239"/>
      <c r="I11" s="240"/>
      <c r="J11" s="240"/>
      <c r="K11" s="240"/>
      <c r="L11" s="240"/>
      <c r="M11" s="241"/>
      <c r="N11" s="26"/>
    </row>
    <row r="12" spans="7:14" x14ac:dyDescent="0.25">
      <c r="G12" s="25"/>
      <c r="H12" s="21"/>
      <c r="I12" s="21"/>
      <c r="J12" s="21"/>
      <c r="K12" s="21"/>
      <c r="L12" s="21"/>
      <c r="M12" s="21"/>
      <c r="N12" s="26"/>
    </row>
    <row r="13" spans="7:14" x14ac:dyDescent="0.25">
      <c r="G13" s="25"/>
      <c r="H13" s="21"/>
      <c r="I13" s="21"/>
      <c r="J13" s="32">
        <f>($J$4/$J$3) +K6*SQRT((0.25)*(1-0.25)/$J$3)</f>
        <v>0.16512951042912502</v>
      </c>
      <c r="K13" s="21"/>
      <c r="L13" s="21"/>
      <c r="M13" s="21"/>
      <c r="N13" s="26"/>
    </row>
    <row r="14" spans="7:14" x14ac:dyDescent="0.25">
      <c r="G14" s="25"/>
      <c r="H14" s="21"/>
      <c r="I14" s="21"/>
      <c r="J14" s="32">
        <f>($J$4/$J$3) +L6*SQRT((0.25)*(1-0.25)/$J$3)</f>
        <v>0.33487048957087495</v>
      </c>
      <c r="K14" s="21"/>
      <c r="L14" s="21"/>
      <c r="M14" s="21"/>
      <c r="N14" s="26"/>
    </row>
    <row r="15" spans="7:14" x14ac:dyDescent="0.25">
      <c r="G15" s="25"/>
      <c r="H15" s="21"/>
      <c r="I15" s="21"/>
      <c r="J15" s="21"/>
      <c r="K15" s="21"/>
      <c r="L15" s="21"/>
      <c r="M15" s="21"/>
      <c r="N15" s="26"/>
    </row>
    <row r="16" spans="7:14" x14ac:dyDescent="0.25">
      <c r="G16" s="25"/>
      <c r="H16" s="21"/>
      <c r="I16" s="21"/>
      <c r="J16" s="21"/>
      <c r="K16" s="21"/>
      <c r="L16" s="21"/>
      <c r="M16" s="21"/>
      <c r="N16" s="26"/>
    </row>
    <row r="17" spans="7:14" x14ac:dyDescent="0.25">
      <c r="G17" s="25"/>
      <c r="H17" s="21"/>
      <c r="I17" s="21"/>
      <c r="J17" s="21"/>
      <c r="K17" s="21"/>
      <c r="L17" s="21"/>
      <c r="M17" s="21"/>
      <c r="N17" s="26"/>
    </row>
    <row r="18" spans="7:14" x14ac:dyDescent="0.25">
      <c r="G18" s="25"/>
      <c r="H18" s="21"/>
      <c r="I18" s="21"/>
      <c r="J18" s="21"/>
      <c r="K18" s="21"/>
      <c r="L18" s="21"/>
      <c r="M18" s="21"/>
      <c r="N18" s="26"/>
    </row>
    <row r="19" spans="7:14" ht="15.75" thickBot="1" x14ac:dyDescent="0.3">
      <c r="G19" s="74"/>
      <c r="H19" s="27"/>
      <c r="I19" s="27"/>
      <c r="J19" s="27"/>
      <c r="K19" s="27"/>
      <c r="L19" s="27"/>
      <c r="M19" s="27"/>
      <c r="N19" s="28"/>
    </row>
  </sheetData>
  <mergeCells count="4">
    <mergeCell ref="H3:I3"/>
    <mergeCell ref="H4:I4"/>
    <mergeCell ref="H6:J6"/>
    <mergeCell ref="H9:M11"/>
  </mergeCells>
  <pageMargins left="0.7" right="0.7" top="0.75" bottom="0.75" header="0.3" footer="0.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329394-C652-468F-8103-5C98789C7CC0}">
  <dimension ref="E1:Q17"/>
  <sheetViews>
    <sheetView workbookViewId="0">
      <selection activeCell="H16" sqref="H16"/>
    </sheetView>
  </sheetViews>
  <sheetFormatPr defaultRowHeight="15" x14ac:dyDescent="0.25"/>
  <sheetData>
    <row r="1" spans="5:17" ht="15.75" thickBot="1" x14ac:dyDescent="0.3"/>
    <row r="2" spans="5:17" ht="15.75" thickBot="1" x14ac:dyDescent="0.3">
      <c r="E2" s="22"/>
      <c r="F2" s="23"/>
      <c r="G2" s="23"/>
      <c r="H2" s="23"/>
      <c r="I2" s="23"/>
      <c r="J2" s="23"/>
      <c r="K2" s="24"/>
      <c r="M2" s="235" t="s">
        <v>237</v>
      </c>
      <c r="N2" s="235"/>
      <c r="O2" s="235"/>
      <c r="P2" s="235"/>
      <c r="Q2" s="235"/>
    </row>
    <row r="3" spans="5:17" x14ac:dyDescent="0.25">
      <c r="E3" s="107"/>
      <c r="F3" s="108"/>
      <c r="G3" s="108"/>
      <c r="H3" s="108"/>
      <c r="I3" s="108"/>
      <c r="J3" s="108"/>
      <c r="K3" s="109"/>
      <c r="M3" s="22"/>
      <c r="N3" s="23"/>
      <c r="O3" s="23"/>
      <c r="P3" s="23"/>
      <c r="Q3" s="24"/>
    </row>
    <row r="4" spans="5:17" x14ac:dyDescent="0.25">
      <c r="E4" s="107"/>
      <c r="F4" s="108"/>
      <c r="G4" s="232" t="s">
        <v>236</v>
      </c>
      <c r="H4" s="232"/>
      <c r="I4" s="232"/>
      <c r="J4" s="108">
        <v>5000</v>
      </c>
      <c r="K4" s="109"/>
      <c r="M4" s="231" t="s">
        <v>226</v>
      </c>
      <c r="N4" s="232"/>
      <c r="O4" s="232"/>
      <c r="P4" s="108">
        <v>-1.96</v>
      </c>
      <c r="Q4" s="109">
        <v>1.96</v>
      </c>
    </row>
    <row r="5" spans="5:17" x14ac:dyDescent="0.25">
      <c r="E5" s="231" t="s">
        <v>227</v>
      </c>
      <c r="F5" s="232"/>
      <c r="G5" s="232"/>
      <c r="H5" s="232"/>
      <c r="I5" s="232"/>
      <c r="J5" s="108" t="s">
        <v>103</v>
      </c>
      <c r="K5" s="109"/>
      <c r="M5" s="231" t="s">
        <v>38</v>
      </c>
      <c r="N5" s="232"/>
      <c r="O5" s="232"/>
      <c r="P5" s="108">
        <v>0.2</v>
      </c>
      <c r="Q5" s="109"/>
    </row>
    <row r="6" spans="5:17" x14ac:dyDescent="0.25">
      <c r="E6" s="107"/>
      <c r="F6" s="108"/>
      <c r="G6" s="232" t="s">
        <v>225</v>
      </c>
      <c r="H6" s="232"/>
      <c r="I6" s="232"/>
      <c r="J6" s="108">
        <v>100</v>
      </c>
      <c r="K6" s="109"/>
      <c r="M6" s="231" t="s">
        <v>231</v>
      </c>
      <c r="N6" s="232"/>
      <c r="O6" s="232"/>
      <c r="P6" s="108">
        <v>0.05</v>
      </c>
      <c r="Q6" s="109"/>
    </row>
    <row r="7" spans="5:17" ht="15.75" thickBot="1" x14ac:dyDescent="0.3">
      <c r="E7" s="107"/>
      <c r="F7" s="108"/>
      <c r="G7" s="232" t="s">
        <v>38</v>
      </c>
      <c r="H7" s="232"/>
      <c r="I7" s="232"/>
      <c r="J7" s="108">
        <v>0.2</v>
      </c>
      <c r="K7" s="109"/>
      <c r="M7" s="107"/>
      <c r="N7" s="108"/>
      <c r="O7" s="108"/>
      <c r="P7" s="108"/>
      <c r="Q7" s="109"/>
    </row>
    <row r="8" spans="5:17" x14ac:dyDescent="0.25">
      <c r="E8" s="107"/>
      <c r="F8" s="108"/>
      <c r="G8" s="232" t="s">
        <v>226</v>
      </c>
      <c r="H8" s="232"/>
      <c r="I8" s="232"/>
      <c r="J8" s="108">
        <v>-1.96</v>
      </c>
      <c r="K8" s="109">
        <v>1.96</v>
      </c>
      <c r="M8" s="107"/>
      <c r="N8" s="236" t="s">
        <v>229</v>
      </c>
      <c r="O8" s="237"/>
      <c r="P8" s="238"/>
      <c r="Q8" s="109"/>
    </row>
    <row r="9" spans="5:17" ht="15.75" thickBot="1" x14ac:dyDescent="0.3">
      <c r="E9" s="25"/>
      <c r="F9" s="21"/>
      <c r="G9" s="21"/>
      <c r="H9" s="21"/>
      <c r="I9" s="21"/>
      <c r="J9" s="21"/>
      <c r="K9" s="26"/>
      <c r="M9" s="107"/>
      <c r="N9" s="239"/>
      <c r="O9" s="240"/>
      <c r="P9" s="241"/>
      <c r="Q9" s="109"/>
    </row>
    <row r="10" spans="5:17" ht="15.75" thickBot="1" x14ac:dyDescent="0.3">
      <c r="E10" s="25"/>
      <c r="F10" s="21"/>
      <c r="G10" s="21"/>
      <c r="H10" s="21"/>
      <c r="I10" s="21"/>
      <c r="J10" s="21"/>
      <c r="K10" s="26"/>
      <c r="M10" s="107"/>
      <c r="N10" s="108"/>
      <c r="O10" s="108"/>
      <c r="P10" s="108"/>
      <c r="Q10" s="109"/>
    </row>
    <row r="11" spans="5:17" x14ac:dyDescent="0.25">
      <c r="E11" s="25"/>
      <c r="F11" s="236" t="s">
        <v>248</v>
      </c>
      <c r="G11" s="237"/>
      <c r="H11" s="237"/>
      <c r="I11" s="237"/>
      <c r="J11" s="237"/>
      <c r="K11" s="238"/>
      <c r="M11" s="107"/>
      <c r="N11" s="108"/>
      <c r="O11" s="108">
        <f>(POWER(Q4,2)*P5*(1-P5))/(POWER(P6,2))</f>
        <v>245.86239999999998</v>
      </c>
      <c r="P11" s="108"/>
      <c r="Q11" s="109"/>
    </row>
    <row r="12" spans="5:17" ht="15.75" thickBot="1" x14ac:dyDescent="0.3">
      <c r="E12" s="25"/>
      <c r="F12" s="248"/>
      <c r="G12" s="249"/>
      <c r="H12" s="249"/>
      <c r="I12" s="249"/>
      <c r="J12" s="249"/>
      <c r="K12" s="250"/>
      <c r="M12" s="74"/>
      <c r="N12" s="27"/>
      <c r="O12" s="27"/>
      <c r="P12" s="27"/>
      <c r="Q12" s="28"/>
    </row>
    <row r="13" spans="5:17" ht="15.75" thickBot="1" x14ac:dyDescent="0.3">
      <c r="E13" s="25"/>
      <c r="F13" s="239"/>
      <c r="G13" s="240"/>
      <c r="H13" s="240"/>
      <c r="I13" s="240"/>
      <c r="J13" s="240"/>
      <c r="K13" s="241"/>
    </row>
    <row r="14" spans="5:17" x14ac:dyDescent="0.25">
      <c r="E14" s="25"/>
      <c r="F14" s="21"/>
      <c r="G14" s="21"/>
      <c r="H14" s="21"/>
      <c r="I14" s="21"/>
      <c r="J14" s="21"/>
      <c r="K14" s="26"/>
    </row>
    <row r="15" spans="5:17" x14ac:dyDescent="0.25">
      <c r="E15" s="25"/>
      <c r="F15" s="21"/>
      <c r="G15" s="21"/>
      <c r="H15" s="21"/>
      <c r="I15" s="21"/>
      <c r="J15" s="21"/>
      <c r="K15" s="26"/>
    </row>
    <row r="16" spans="5:17" x14ac:dyDescent="0.25">
      <c r="E16" s="25"/>
      <c r="F16" s="21"/>
      <c r="G16" s="21"/>
      <c r="H16" s="32">
        <f>$J$7+J8*SQRT(($J$7*(1-$J$7)/$J$6))</f>
        <v>0.12160000000000001</v>
      </c>
      <c r="I16" s="21"/>
      <c r="J16" s="21"/>
      <c r="K16" s="26"/>
    </row>
    <row r="17" spans="5:11" ht="15.75" thickBot="1" x14ac:dyDescent="0.3">
      <c r="E17" s="74"/>
      <c r="F17" s="27"/>
      <c r="G17" s="27"/>
      <c r="H17" s="46">
        <f>$J$7+K8*SQRT(($J$7*(1-$J$7)/$J$6))</f>
        <v>0.27839999999999998</v>
      </c>
      <c r="I17" s="27"/>
      <c r="J17" s="27"/>
      <c r="K17" s="28"/>
    </row>
  </sheetData>
  <mergeCells count="11">
    <mergeCell ref="F11:K13"/>
    <mergeCell ref="G4:I4"/>
    <mergeCell ref="G6:I6"/>
    <mergeCell ref="G7:I7"/>
    <mergeCell ref="G8:I8"/>
    <mergeCell ref="E5:I5"/>
    <mergeCell ref="M2:Q2"/>
    <mergeCell ref="M4:O4"/>
    <mergeCell ref="M5:O5"/>
    <mergeCell ref="M6:O6"/>
    <mergeCell ref="N8:P9"/>
  </mergeCells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6F6548-4120-49AB-BFAD-E23186D008CD}">
  <dimension ref="G3:M14"/>
  <sheetViews>
    <sheetView topLeftCell="A7" workbookViewId="0">
      <selection activeCell="I13" sqref="I13"/>
    </sheetView>
  </sheetViews>
  <sheetFormatPr defaultRowHeight="15" x14ac:dyDescent="0.25"/>
  <cols>
    <col min="8" max="8" width="11.85546875" customWidth="1"/>
  </cols>
  <sheetData>
    <row r="3" spans="7:13" ht="15.75" thickBot="1" x14ac:dyDescent="0.3"/>
    <row r="4" spans="7:13" x14ac:dyDescent="0.25">
      <c r="G4" s="22"/>
      <c r="H4" s="23"/>
      <c r="I4" s="23"/>
      <c r="J4" s="23"/>
      <c r="K4" s="23"/>
      <c r="L4" s="23"/>
      <c r="M4" s="24"/>
    </row>
    <row r="5" spans="7:13" x14ac:dyDescent="0.25">
      <c r="G5" s="25"/>
      <c r="H5" s="232" t="s">
        <v>228</v>
      </c>
      <c r="I5" s="232"/>
      <c r="J5" s="21">
        <v>-1.96</v>
      </c>
      <c r="K5" s="21">
        <v>1.96</v>
      </c>
      <c r="L5" s="21" t="s">
        <v>76</v>
      </c>
      <c r="M5" s="26"/>
    </row>
    <row r="6" spans="7:13" x14ac:dyDescent="0.25">
      <c r="G6" s="25"/>
      <c r="H6" s="232" t="s">
        <v>233</v>
      </c>
      <c r="I6" s="232"/>
      <c r="J6" s="21">
        <v>0.03</v>
      </c>
      <c r="K6" s="21"/>
      <c r="L6" s="21"/>
      <c r="M6" s="26"/>
    </row>
    <row r="7" spans="7:13" x14ac:dyDescent="0.25">
      <c r="G7" s="25"/>
      <c r="H7" s="232" t="s">
        <v>232</v>
      </c>
      <c r="I7" s="232"/>
      <c r="J7" s="21">
        <v>0.12</v>
      </c>
      <c r="K7" s="21"/>
      <c r="L7" s="21"/>
      <c r="M7" s="26"/>
    </row>
    <row r="8" spans="7:13" x14ac:dyDescent="0.25">
      <c r="G8" s="25"/>
      <c r="H8" s="21"/>
      <c r="I8" s="21"/>
      <c r="J8" s="21"/>
      <c r="K8" s="21"/>
      <c r="L8" s="21"/>
      <c r="M8" s="26"/>
    </row>
    <row r="9" spans="7:13" ht="15.75" thickBot="1" x14ac:dyDescent="0.3">
      <c r="G9" s="25"/>
      <c r="H9" s="21"/>
      <c r="I9" s="21"/>
      <c r="J9" s="21"/>
      <c r="K9" s="21"/>
      <c r="L9" s="21"/>
      <c r="M9" s="26"/>
    </row>
    <row r="10" spans="7:13" x14ac:dyDescent="0.25">
      <c r="G10" s="25"/>
      <c r="H10" s="21" t="s">
        <v>51</v>
      </c>
      <c r="I10" s="236" t="s">
        <v>229</v>
      </c>
      <c r="J10" s="237"/>
      <c r="K10" s="238"/>
      <c r="L10" s="21"/>
      <c r="M10" s="26"/>
    </row>
    <row r="11" spans="7:13" ht="15.75" thickBot="1" x14ac:dyDescent="0.3">
      <c r="G11" s="25"/>
      <c r="H11" s="21"/>
      <c r="I11" s="239"/>
      <c r="J11" s="240"/>
      <c r="K11" s="241"/>
      <c r="L11" s="21"/>
      <c r="M11" s="26"/>
    </row>
    <row r="12" spans="7:13" x14ac:dyDescent="0.25">
      <c r="G12" s="25"/>
      <c r="H12" s="21"/>
      <c r="I12" s="21"/>
      <c r="J12" s="21"/>
      <c r="K12" s="21"/>
      <c r="L12" s="21"/>
      <c r="M12" s="26"/>
    </row>
    <row r="13" spans="7:13" x14ac:dyDescent="0.25">
      <c r="G13" s="25"/>
      <c r="H13" s="21"/>
      <c r="I13" s="32">
        <f>(POWER(K5,2)*J7*(1-J7))/(POWER(J6,2))</f>
        <v>450.74773333333331</v>
      </c>
      <c r="J13" s="21"/>
      <c r="K13" s="21"/>
      <c r="L13" s="21"/>
      <c r="M13" s="26"/>
    </row>
    <row r="14" spans="7:13" ht="15.75" thickBot="1" x14ac:dyDescent="0.3">
      <c r="G14" s="74"/>
      <c r="H14" s="27"/>
      <c r="I14" s="27"/>
      <c r="J14" s="27"/>
      <c r="K14" s="27"/>
      <c r="L14" s="27"/>
      <c r="M14" s="28"/>
    </row>
  </sheetData>
  <mergeCells count="4">
    <mergeCell ref="H5:I5"/>
    <mergeCell ref="H6:I6"/>
    <mergeCell ref="H7:I7"/>
    <mergeCell ref="I10:K11"/>
  </mergeCells>
  <pageMargins left="0.7" right="0.7" top="0.75" bottom="0.75" header="0.3" footer="0.3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079C82-A1B6-4105-806D-5052835C7921}">
  <dimension ref="F2:R28"/>
  <sheetViews>
    <sheetView workbookViewId="0">
      <selection activeCell="N21" sqref="N21:O22"/>
    </sheetView>
  </sheetViews>
  <sheetFormatPr defaultRowHeight="15" x14ac:dyDescent="0.25"/>
  <cols>
    <col min="12" max="12" width="12" customWidth="1"/>
    <col min="13" max="13" width="12.140625" customWidth="1"/>
  </cols>
  <sheetData>
    <row r="2" spans="6:15" x14ac:dyDescent="0.25">
      <c r="F2" s="106"/>
      <c r="G2" s="106" t="s">
        <v>239</v>
      </c>
      <c r="H2" s="106"/>
      <c r="I2" s="106"/>
      <c r="J2" s="106"/>
      <c r="K2" s="106">
        <v>100</v>
      </c>
    </row>
    <row r="3" spans="6:15" x14ac:dyDescent="0.25">
      <c r="F3" s="106"/>
      <c r="G3" s="219" t="s">
        <v>240</v>
      </c>
      <c r="H3" s="219"/>
      <c r="I3" s="219"/>
      <c r="J3" s="219"/>
      <c r="K3" s="106">
        <v>8</v>
      </c>
    </row>
    <row r="4" spans="6:15" x14ac:dyDescent="0.25">
      <c r="F4" s="106"/>
      <c r="G4" s="251" t="s">
        <v>44</v>
      </c>
      <c r="H4" s="251"/>
      <c r="I4" s="251"/>
      <c r="J4" s="251"/>
      <c r="K4" s="106">
        <v>0.08</v>
      </c>
    </row>
    <row r="5" spans="6:15" x14ac:dyDescent="0.25">
      <c r="F5" s="106"/>
      <c r="G5" s="106"/>
      <c r="H5" s="106"/>
      <c r="I5" s="106"/>
      <c r="J5" s="106"/>
      <c r="K5" s="106"/>
    </row>
    <row r="6" spans="6:15" x14ac:dyDescent="0.25">
      <c r="F6" s="106"/>
      <c r="G6" s="106"/>
      <c r="H6" s="106"/>
      <c r="I6" s="106"/>
      <c r="J6" s="106"/>
      <c r="K6" s="106"/>
    </row>
    <row r="7" spans="6:15" x14ac:dyDescent="0.25">
      <c r="F7" s="106"/>
      <c r="G7" s="219" t="s">
        <v>238</v>
      </c>
      <c r="H7" s="219"/>
      <c r="I7" s="219"/>
      <c r="J7" s="219"/>
      <c r="K7" s="106">
        <v>500</v>
      </c>
    </row>
    <row r="8" spans="6:15" x14ac:dyDescent="0.25">
      <c r="F8" s="106"/>
      <c r="G8" s="219" t="s">
        <v>240</v>
      </c>
      <c r="H8" s="219"/>
      <c r="I8" s="219"/>
      <c r="J8" s="219"/>
      <c r="K8" s="106">
        <v>25</v>
      </c>
    </row>
    <row r="9" spans="6:15" x14ac:dyDescent="0.25">
      <c r="F9" s="106"/>
      <c r="G9" s="251" t="s">
        <v>242</v>
      </c>
      <c r="H9" s="251"/>
      <c r="I9" s="251"/>
      <c r="J9" s="251"/>
      <c r="K9" s="106">
        <v>0.05</v>
      </c>
    </row>
    <row r="10" spans="6:15" x14ac:dyDescent="0.25">
      <c r="F10" s="106"/>
      <c r="G10" s="106"/>
      <c r="H10" s="106"/>
      <c r="I10" s="106"/>
      <c r="J10" s="106"/>
      <c r="K10" s="106"/>
    </row>
    <row r="11" spans="6:15" x14ac:dyDescent="0.25">
      <c r="F11" s="253" t="s">
        <v>241</v>
      </c>
      <c r="G11" s="253"/>
      <c r="H11" s="253"/>
      <c r="I11" s="252" t="s">
        <v>244</v>
      </c>
      <c r="J11" s="252"/>
      <c r="K11" s="253">
        <f>K7*K4</f>
        <v>40</v>
      </c>
      <c r="M11" s="131" t="s">
        <v>107</v>
      </c>
      <c r="N11">
        <v>500</v>
      </c>
    </row>
    <row r="12" spans="6:15" x14ac:dyDescent="0.25">
      <c r="F12" s="253"/>
      <c r="G12" s="253"/>
      <c r="H12" s="253"/>
      <c r="I12" s="252"/>
      <c r="J12" s="252"/>
      <c r="K12" s="253"/>
      <c r="M12" s="131" t="s">
        <v>38</v>
      </c>
      <c r="N12">
        <v>0.05</v>
      </c>
    </row>
    <row r="13" spans="6:15" x14ac:dyDescent="0.25">
      <c r="F13" s="106"/>
      <c r="G13" s="106"/>
      <c r="H13" s="106"/>
      <c r="I13" s="106"/>
      <c r="J13" s="106"/>
      <c r="K13" s="106"/>
      <c r="M13" s="131" t="s">
        <v>106</v>
      </c>
      <c r="N13">
        <v>0.05</v>
      </c>
    </row>
    <row r="14" spans="6:15" x14ac:dyDescent="0.25">
      <c r="F14" s="253" t="s">
        <v>241</v>
      </c>
      <c r="G14" s="253"/>
      <c r="H14" s="253"/>
      <c r="I14" s="252" t="s">
        <v>245</v>
      </c>
      <c r="J14" s="252"/>
      <c r="K14" s="253">
        <f>K7*(1-K4)</f>
        <v>460</v>
      </c>
      <c r="M14" s="131" t="s">
        <v>98</v>
      </c>
      <c r="N14">
        <v>2.5000000000000001E-2</v>
      </c>
      <c r="O14">
        <v>0.97499999999999998</v>
      </c>
    </row>
    <row r="15" spans="6:15" x14ac:dyDescent="0.25">
      <c r="F15" s="253"/>
      <c r="G15" s="253"/>
      <c r="H15" s="253"/>
      <c r="I15" s="252"/>
      <c r="J15" s="252"/>
      <c r="K15" s="253"/>
      <c r="M15" s="131" t="s">
        <v>76</v>
      </c>
      <c r="N15">
        <v>-1.96</v>
      </c>
      <c r="O15">
        <v>1.96</v>
      </c>
    </row>
    <row r="16" spans="6:15" ht="15.75" thickBot="1" x14ac:dyDescent="0.3"/>
    <row r="17" spans="13:18" x14ac:dyDescent="0.25">
      <c r="M17" s="236" t="s">
        <v>243</v>
      </c>
      <c r="N17" s="237"/>
      <c r="O17" s="237"/>
      <c r="P17" s="237"/>
      <c r="Q17" s="238"/>
    </row>
    <row r="18" spans="13:18" x14ac:dyDescent="0.25">
      <c r="M18" s="248"/>
      <c r="N18" s="249"/>
      <c r="O18" s="249"/>
      <c r="P18" s="249"/>
      <c r="Q18" s="250"/>
    </row>
    <row r="19" spans="13:18" ht="15.75" thickBot="1" x14ac:dyDescent="0.3">
      <c r="M19" s="239"/>
      <c r="N19" s="240"/>
      <c r="O19" s="240"/>
      <c r="P19" s="240"/>
      <c r="Q19" s="241"/>
    </row>
    <row r="21" spans="13:18" x14ac:dyDescent="0.25">
      <c r="N21" s="252">
        <f>(K9-K4) / (SQRT(K4*(1-K4)/K7))</f>
        <v>-2.4726767752342012</v>
      </c>
      <c r="O21" s="252"/>
    </row>
    <row r="22" spans="13:18" x14ac:dyDescent="0.25">
      <c r="N22" s="252"/>
      <c r="O22" s="252"/>
    </row>
    <row r="24" spans="13:18" x14ac:dyDescent="0.25">
      <c r="M24" s="132" t="s">
        <v>246</v>
      </c>
      <c r="N24" s="132">
        <v>-1.96</v>
      </c>
      <c r="O24" s="132" t="s">
        <v>156</v>
      </c>
      <c r="P24" s="132">
        <v>1.96</v>
      </c>
      <c r="Q24" s="137" t="s">
        <v>247</v>
      </c>
    </row>
    <row r="26" spans="13:18" x14ac:dyDescent="0.25">
      <c r="M26" s="247" t="s">
        <v>249</v>
      </c>
      <c r="N26" s="247"/>
      <c r="O26" s="68">
        <f>0.0068</f>
        <v>6.7999999999999996E-3</v>
      </c>
    </row>
    <row r="27" spans="13:18" x14ac:dyDescent="0.25">
      <c r="M27" s="247" t="s">
        <v>123</v>
      </c>
      <c r="N27" s="247"/>
      <c r="O27" s="68">
        <f>O26*2</f>
        <v>1.3599999999999999E-2</v>
      </c>
    </row>
    <row r="28" spans="13:18" x14ac:dyDescent="0.25">
      <c r="M28" s="133" t="s">
        <v>123</v>
      </c>
      <c r="N28" s="133">
        <v>1.3599999999999999E-2</v>
      </c>
      <c r="O28" s="132" t="s">
        <v>121</v>
      </c>
      <c r="P28" s="138" t="s">
        <v>106</v>
      </c>
      <c r="Q28" s="138">
        <v>0.05</v>
      </c>
      <c r="R28" s="137" t="s">
        <v>247</v>
      </c>
    </row>
  </sheetData>
  <mergeCells count="15">
    <mergeCell ref="G7:J7"/>
    <mergeCell ref="G8:J8"/>
    <mergeCell ref="G3:J3"/>
    <mergeCell ref="G4:J4"/>
    <mergeCell ref="N21:O22"/>
    <mergeCell ref="M26:N26"/>
    <mergeCell ref="M27:N27"/>
    <mergeCell ref="G9:J9"/>
    <mergeCell ref="M17:Q19"/>
    <mergeCell ref="I11:J12"/>
    <mergeCell ref="I14:J15"/>
    <mergeCell ref="K11:K12"/>
    <mergeCell ref="K14:K15"/>
    <mergeCell ref="F11:H12"/>
    <mergeCell ref="F14:H15"/>
  </mergeCells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A983609-81EE-4FA6-8B4E-C32B1CC4A23E}">
  <dimension ref="G2:O32"/>
  <sheetViews>
    <sheetView topLeftCell="A16" workbookViewId="0">
      <selection activeCell="K14" sqref="K14"/>
    </sheetView>
  </sheetViews>
  <sheetFormatPr defaultRowHeight="15" x14ac:dyDescent="0.25"/>
  <cols>
    <col min="6" max="6" width="15.7109375" customWidth="1"/>
    <col min="7" max="9" width="9.140625" customWidth="1"/>
    <col min="12" max="12" width="12.140625" customWidth="1"/>
  </cols>
  <sheetData>
    <row r="2" spans="7:15" x14ac:dyDescent="0.25">
      <c r="G2" s="110"/>
      <c r="H2" s="110"/>
      <c r="I2" s="110"/>
      <c r="J2" s="110"/>
      <c r="K2" s="110"/>
      <c r="L2" s="110"/>
      <c r="M2" s="110"/>
      <c r="N2" s="110"/>
      <c r="O2" s="110"/>
    </row>
    <row r="3" spans="7:15" x14ac:dyDescent="0.25">
      <c r="G3" s="110"/>
      <c r="H3" s="110"/>
      <c r="I3" s="110"/>
      <c r="J3" s="110"/>
      <c r="K3" s="110"/>
      <c r="L3" s="110"/>
      <c r="M3" s="110"/>
      <c r="N3" s="110"/>
      <c r="O3" s="110"/>
    </row>
    <row r="4" spans="7:15" x14ac:dyDescent="0.25">
      <c r="G4" s="136">
        <v>36</v>
      </c>
      <c r="H4" s="110" t="s">
        <v>257</v>
      </c>
      <c r="I4" s="14">
        <v>72</v>
      </c>
      <c r="J4" s="110" t="s">
        <v>258</v>
      </c>
      <c r="K4" s="110"/>
      <c r="L4" s="110" t="s">
        <v>251</v>
      </c>
      <c r="M4" s="110">
        <v>0</v>
      </c>
      <c r="N4" s="110"/>
      <c r="O4" s="110"/>
    </row>
    <row r="5" spans="7:15" x14ac:dyDescent="0.25">
      <c r="G5" s="136">
        <v>35</v>
      </c>
      <c r="H5" s="110" t="s">
        <v>257</v>
      </c>
      <c r="I5" s="14">
        <v>50</v>
      </c>
      <c r="J5" s="110" t="s">
        <v>255</v>
      </c>
      <c r="K5" s="110"/>
      <c r="L5" s="110" t="s">
        <v>252</v>
      </c>
      <c r="M5" s="110">
        <v>0</v>
      </c>
      <c r="N5" s="110"/>
      <c r="O5" s="110"/>
    </row>
    <row r="6" spans="7:15" x14ac:dyDescent="0.25">
      <c r="G6" s="110"/>
      <c r="H6" s="219" t="s">
        <v>250</v>
      </c>
      <c r="I6" s="219"/>
      <c r="J6" s="219"/>
      <c r="K6" s="110"/>
      <c r="L6" s="110"/>
      <c r="M6" s="110"/>
      <c r="N6" s="110"/>
      <c r="O6" s="110"/>
    </row>
    <row r="7" spans="7:15" x14ac:dyDescent="0.25">
      <c r="G7" s="110"/>
      <c r="H7" s="110"/>
      <c r="I7" s="110"/>
      <c r="J7" s="110"/>
      <c r="K7" s="110"/>
      <c r="L7" s="110" t="s">
        <v>106</v>
      </c>
      <c r="M7" s="110">
        <v>0.05</v>
      </c>
      <c r="N7" s="110"/>
      <c r="O7" s="110"/>
    </row>
    <row r="8" spans="7:15" x14ac:dyDescent="0.25">
      <c r="G8" s="110"/>
      <c r="H8" s="110" t="s">
        <v>253</v>
      </c>
      <c r="I8" s="110" t="s">
        <v>254</v>
      </c>
      <c r="J8" s="110">
        <f>G4/I4</f>
        <v>0.5</v>
      </c>
      <c r="K8" s="110"/>
      <c r="L8" s="219" t="s">
        <v>261</v>
      </c>
      <c r="M8" s="219"/>
      <c r="N8" s="219"/>
      <c r="O8" s="110"/>
    </row>
    <row r="9" spans="7:15" x14ac:dyDescent="0.25">
      <c r="G9" s="110"/>
      <c r="H9" s="110" t="s">
        <v>255</v>
      </c>
      <c r="I9" s="110" t="s">
        <v>256</v>
      </c>
      <c r="J9" s="110">
        <f>G5/I5</f>
        <v>0.7</v>
      </c>
      <c r="K9" s="110"/>
      <c r="L9" s="110">
        <v>-1.96</v>
      </c>
      <c r="M9" s="110">
        <v>1.96</v>
      </c>
      <c r="N9" s="110"/>
      <c r="O9" s="110"/>
    </row>
    <row r="10" spans="7:15" ht="15.75" thickBot="1" x14ac:dyDescent="0.3">
      <c r="G10" s="110"/>
      <c r="H10" s="110"/>
      <c r="I10" s="110"/>
      <c r="J10" s="110"/>
      <c r="K10" s="110"/>
      <c r="L10" s="110"/>
      <c r="M10" s="110"/>
      <c r="N10" s="110"/>
      <c r="O10" s="110"/>
    </row>
    <row r="11" spans="7:15" x14ac:dyDescent="0.25">
      <c r="G11" s="110"/>
      <c r="H11" s="236" t="s">
        <v>259</v>
      </c>
      <c r="I11" s="237"/>
      <c r="J11" s="238"/>
      <c r="K11" s="110"/>
      <c r="L11" s="110"/>
      <c r="M11" s="110"/>
      <c r="N11" s="110"/>
      <c r="O11" s="110"/>
    </row>
    <row r="12" spans="7:15" x14ac:dyDescent="0.25">
      <c r="G12" s="110"/>
      <c r="H12" s="248"/>
      <c r="I12" s="249"/>
      <c r="J12" s="250"/>
      <c r="K12" s="110"/>
      <c r="L12" s="110"/>
      <c r="M12" s="110"/>
      <c r="N12" s="110"/>
      <c r="O12" s="110"/>
    </row>
    <row r="13" spans="7:15" ht="15.75" thickBot="1" x14ac:dyDescent="0.3">
      <c r="G13" s="110"/>
      <c r="H13" s="239"/>
      <c r="I13" s="240"/>
      <c r="J13" s="241"/>
      <c r="K13" s="110"/>
      <c r="L13" s="110"/>
      <c r="M13" s="110"/>
      <c r="N13" s="110"/>
      <c r="O13" s="110"/>
    </row>
    <row r="15" spans="7:15" x14ac:dyDescent="0.25">
      <c r="I15" s="68">
        <f>(G4+G5)/(I4+I5)</f>
        <v>0.58196721311475408</v>
      </c>
    </row>
    <row r="17" spans="8:14" ht="15.75" thickBot="1" x14ac:dyDescent="0.3"/>
    <row r="18" spans="8:14" x14ac:dyDescent="0.25">
      <c r="H18" s="236" t="s">
        <v>260</v>
      </c>
      <c r="I18" s="237"/>
      <c r="J18" s="237"/>
      <c r="K18" s="237"/>
      <c r="L18" s="237"/>
      <c r="M18" s="237"/>
      <c r="N18" s="238"/>
    </row>
    <row r="19" spans="8:14" x14ac:dyDescent="0.25">
      <c r="H19" s="248"/>
      <c r="I19" s="249"/>
      <c r="J19" s="249"/>
      <c r="K19" s="249"/>
      <c r="L19" s="249"/>
      <c r="M19" s="249"/>
      <c r="N19" s="250"/>
    </row>
    <row r="20" spans="8:14" ht="15.75" thickBot="1" x14ac:dyDescent="0.3">
      <c r="H20" s="239"/>
      <c r="I20" s="240"/>
      <c r="J20" s="240"/>
      <c r="K20" s="240"/>
      <c r="L20" s="240"/>
      <c r="M20" s="240"/>
      <c r="N20" s="241"/>
    </row>
    <row r="22" spans="8:14" x14ac:dyDescent="0.25">
      <c r="J22" s="252">
        <f>((J8-J9)-0)/(SQRT(I15*(1-I15)*(1/I4 +1/I5)))</f>
        <v>-2.2026571285266372</v>
      </c>
    </row>
    <row r="23" spans="8:14" x14ac:dyDescent="0.25">
      <c r="J23" s="252"/>
    </row>
    <row r="25" spans="8:14" x14ac:dyDescent="0.25">
      <c r="H25" s="247" t="s">
        <v>246</v>
      </c>
      <c r="I25" s="247"/>
      <c r="J25" s="132">
        <v>-1.96</v>
      </c>
      <c r="K25" s="132" t="s">
        <v>156</v>
      </c>
      <c r="L25" s="132">
        <v>1.96</v>
      </c>
    </row>
    <row r="27" spans="8:14" ht="15.75" thickBot="1" x14ac:dyDescent="0.3"/>
    <row r="28" spans="8:14" x14ac:dyDescent="0.25">
      <c r="H28" s="236" t="s">
        <v>262</v>
      </c>
      <c r="I28" s="237"/>
      <c r="J28" s="237"/>
      <c r="K28" s="237"/>
      <c r="L28" s="237"/>
      <c r="M28" s="237"/>
      <c r="N28" s="238"/>
    </row>
    <row r="29" spans="8:14" ht="15.75" thickBot="1" x14ac:dyDescent="0.3">
      <c r="H29" s="239"/>
      <c r="I29" s="240"/>
      <c r="J29" s="240"/>
      <c r="K29" s="240"/>
      <c r="L29" s="240"/>
      <c r="M29" s="240"/>
      <c r="N29" s="241"/>
    </row>
    <row r="31" spans="8:14" x14ac:dyDescent="0.25">
      <c r="J31" s="68">
        <f>(J8-J9)-M9*SQRT((J8*(1-J8)/I4)+(J9*(1-J9)/I5))</f>
        <v>-0.37167879568801987</v>
      </c>
    </row>
    <row r="32" spans="8:14" x14ac:dyDescent="0.25">
      <c r="J32" s="68">
        <f>(J8-J9)+M9*SQRT((J8*(1-J8)/I4)+(J9*(1-J9)/I5))</f>
        <v>-2.8321204311980014E-2</v>
      </c>
    </row>
  </sheetData>
  <mergeCells count="7">
    <mergeCell ref="H25:I25"/>
    <mergeCell ref="H28:N29"/>
    <mergeCell ref="H6:J6"/>
    <mergeCell ref="H11:J13"/>
    <mergeCell ref="H18:N20"/>
    <mergeCell ref="J22:J23"/>
    <mergeCell ref="L8:N8"/>
  </mergeCells>
  <pageMargins left="0.7" right="0.7" top="0.75" bottom="0.75" header="0.3" footer="0.3"/>
  <pageSetup paperSize="9" orientation="portrait"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B2E670-AFD8-4F15-A88C-F73672E270ED}">
  <dimension ref="A1"/>
  <sheetViews>
    <sheetView workbookViewId="0">
      <selection activeCell="H23" sqref="H2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6522B3-D81F-4A94-B810-2126EFB55632}">
  <dimension ref="H25:L41"/>
  <sheetViews>
    <sheetView topLeftCell="A13" workbookViewId="0">
      <selection activeCell="L39" sqref="L39"/>
    </sheetView>
  </sheetViews>
  <sheetFormatPr defaultRowHeight="15" x14ac:dyDescent="0.25"/>
  <sheetData>
    <row r="25" spans="8:8" x14ac:dyDescent="0.25">
      <c r="H25" s="215"/>
    </row>
    <row r="33" spans="8:12" x14ac:dyDescent="0.25">
      <c r="H33">
        <v>2</v>
      </c>
      <c r="I33">
        <v>4</v>
      </c>
      <c r="L33">
        <f>(H33-$H$37)*(I33-$I$37)</f>
        <v>1.6666666666666665</v>
      </c>
    </row>
    <row r="34" spans="8:12" x14ac:dyDescent="0.25">
      <c r="H34">
        <v>3</v>
      </c>
      <c r="I34">
        <v>5</v>
      </c>
      <c r="L34">
        <f t="shared" ref="L34:L35" si="0">(H34-$H$37)*(I34-$I$37)</f>
        <v>0</v>
      </c>
    </row>
    <row r="35" spans="8:12" x14ac:dyDescent="0.25">
      <c r="H35">
        <v>6</v>
      </c>
      <c r="I35">
        <v>6</v>
      </c>
      <c r="L35">
        <f t="shared" si="0"/>
        <v>2.3333333333333335</v>
      </c>
    </row>
    <row r="37" spans="8:12" x14ac:dyDescent="0.25">
      <c r="H37">
        <f>AVERAGE(H33:H35)</f>
        <v>3.6666666666666665</v>
      </c>
      <c r="I37">
        <f>AVERAGE(I33:I35)</f>
        <v>5</v>
      </c>
      <c r="L37">
        <f>SUM(L33:L35)</f>
        <v>4</v>
      </c>
    </row>
    <row r="38" spans="8:12" x14ac:dyDescent="0.25">
      <c r="L38">
        <f>L37/(3-1)</f>
        <v>2</v>
      </c>
    </row>
    <row r="41" spans="8:12" x14ac:dyDescent="0.25">
      <c r="I41">
        <f>_xlfn.COVARIANCE.S(H33:H35,I33:I35)</f>
        <v>2</v>
      </c>
    </row>
  </sheetData>
  <sortState xmlns:xlrd2="http://schemas.microsoft.com/office/spreadsheetml/2017/richdata2" ref="I33:I39">
    <sortCondition ref="I33"/>
  </sortState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BF16FC-9BE3-4D0C-8EB0-CEFBC7ED1E8F}">
  <dimension ref="F2:T34"/>
  <sheetViews>
    <sheetView topLeftCell="A7" workbookViewId="0">
      <selection activeCell="L32" sqref="L32"/>
    </sheetView>
  </sheetViews>
  <sheetFormatPr defaultRowHeight="15" x14ac:dyDescent="0.25"/>
  <cols>
    <col min="14" max="14" width="16.28515625" customWidth="1"/>
  </cols>
  <sheetData>
    <row r="2" spans="6:17" x14ac:dyDescent="0.25">
      <c r="F2" s="139"/>
      <c r="G2" s="139"/>
      <c r="H2" s="139"/>
      <c r="I2" s="139"/>
      <c r="J2" s="139"/>
      <c r="K2" s="139"/>
      <c r="L2" s="139"/>
      <c r="M2" s="139" t="s">
        <v>106</v>
      </c>
      <c r="N2" s="139"/>
    </row>
    <row r="3" spans="6:17" x14ac:dyDescent="0.25">
      <c r="F3" s="139"/>
      <c r="G3" s="139" t="s">
        <v>263</v>
      </c>
      <c r="H3" s="139" t="s">
        <v>264</v>
      </c>
      <c r="I3" s="139" t="s">
        <v>265</v>
      </c>
      <c r="J3" s="139"/>
      <c r="K3" s="219" t="s">
        <v>266</v>
      </c>
      <c r="L3" s="219"/>
      <c r="M3" s="139">
        <v>0.05</v>
      </c>
      <c r="N3" s="139"/>
    </row>
    <row r="4" spans="6:17" x14ac:dyDescent="0.25">
      <c r="F4" s="139"/>
      <c r="G4" s="139">
        <v>254</v>
      </c>
      <c r="H4" s="139">
        <v>234</v>
      </c>
      <c r="I4" s="139">
        <v>200</v>
      </c>
      <c r="J4" s="139"/>
      <c r="K4" s="139"/>
      <c r="L4" s="139"/>
      <c r="M4" s="139"/>
      <c r="N4" s="139"/>
    </row>
    <row r="5" spans="6:17" x14ac:dyDescent="0.25">
      <c r="F5" s="139"/>
      <c r="G5" s="139">
        <v>263</v>
      </c>
      <c r="H5" s="139">
        <v>218</v>
      </c>
      <c r="I5" s="139">
        <v>222</v>
      </c>
      <c r="J5" s="139"/>
      <c r="K5" s="139"/>
      <c r="L5" s="139"/>
      <c r="M5" s="139"/>
      <c r="N5" s="139"/>
    </row>
    <row r="6" spans="6:17" x14ac:dyDescent="0.25">
      <c r="F6" s="139"/>
      <c r="G6" s="139">
        <v>241</v>
      </c>
      <c r="H6" s="139">
        <v>235</v>
      </c>
      <c r="I6" s="139">
        <v>197</v>
      </c>
      <c r="J6" s="139"/>
      <c r="K6" s="139"/>
      <c r="L6" s="139"/>
      <c r="M6" s="139"/>
      <c r="N6" s="139"/>
    </row>
    <row r="7" spans="6:17" x14ac:dyDescent="0.25">
      <c r="F7" s="139"/>
      <c r="G7" s="139">
        <v>237</v>
      </c>
      <c r="H7" s="139">
        <v>227</v>
      </c>
      <c r="I7" s="139">
        <v>206</v>
      </c>
      <c r="J7" s="139"/>
      <c r="K7" s="141"/>
      <c r="L7" s="141"/>
      <c r="M7" s="141"/>
      <c r="N7" s="141"/>
      <c r="O7" s="141"/>
      <c r="P7" s="141"/>
      <c r="Q7" s="141"/>
    </row>
    <row r="8" spans="6:17" x14ac:dyDescent="0.25">
      <c r="F8" s="139"/>
      <c r="G8" s="139">
        <v>251</v>
      </c>
      <c r="H8" s="139">
        <v>216</v>
      </c>
      <c r="I8" s="139">
        <v>204</v>
      </c>
      <c r="J8" s="139"/>
      <c r="K8" s="141"/>
      <c r="L8" s="141"/>
      <c r="M8" s="141"/>
      <c r="N8" s="141"/>
      <c r="O8" s="141"/>
      <c r="P8" s="141"/>
      <c r="Q8" s="141"/>
    </row>
    <row r="9" spans="6:17" x14ac:dyDescent="0.25">
      <c r="F9" s="139"/>
      <c r="G9" s="139"/>
      <c r="H9" s="139"/>
      <c r="I9" s="139"/>
      <c r="J9" s="139"/>
      <c r="K9" s="141"/>
      <c r="L9" s="141"/>
      <c r="M9" s="141"/>
      <c r="N9" s="141"/>
      <c r="O9" s="141"/>
      <c r="P9" s="141"/>
      <c r="Q9" s="141"/>
    </row>
    <row r="10" spans="6:17" x14ac:dyDescent="0.25">
      <c r="G10" s="139" t="s">
        <v>267</v>
      </c>
      <c r="H10" s="139" t="s">
        <v>268</v>
      </c>
      <c r="I10" s="139" t="s">
        <v>269</v>
      </c>
      <c r="K10" s="141" t="s">
        <v>270</v>
      </c>
      <c r="L10" s="141" t="s">
        <v>274</v>
      </c>
      <c r="M10" s="141" t="s">
        <v>275</v>
      </c>
      <c r="N10" s="219" t="s">
        <v>276</v>
      </c>
      <c r="O10" s="219"/>
      <c r="P10" s="219"/>
      <c r="Q10" s="141"/>
    </row>
    <row r="11" spans="6:17" x14ac:dyDescent="0.25">
      <c r="G11" s="139">
        <f>AVERAGE(G4:G8)</f>
        <v>249.2</v>
      </c>
      <c r="H11" s="139">
        <f t="shared" ref="H11:I11" si="0">AVERAGE(H4:H8)</f>
        <v>226</v>
      </c>
      <c r="I11" s="139">
        <f t="shared" si="0"/>
        <v>205.8</v>
      </c>
      <c r="K11" s="141">
        <f>AVERAGE(G11:I11)</f>
        <v>227</v>
      </c>
      <c r="L11" s="141">
        <v>3</v>
      </c>
      <c r="M11" s="142">
        <f>G14*POWER(G11-K11,2) + H14*POWER(H11-K11,2) + I14*POWER(I11-K11,2)</f>
        <v>4716.3999999999951</v>
      </c>
      <c r="O11" s="142">
        <f>SUM(N12:P16)</f>
        <v>1119.5999999999997</v>
      </c>
      <c r="Q11" s="141"/>
    </row>
    <row r="12" spans="6:17" x14ac:dyDescent="0.25">
      <c r="K12" s="141"/>
      <c r="L12" s="141"/>
      <c r="M12" s="141"/>
      <c r="N12" s="141">
        <f>POWER(G4-$G$11,2)</f>
        <v>23.040000000000109</v>
      </c>
      <c r="O12" s="141">
        <f>POWER(H4-$H$11,2)</f>
        <v>64</v>
      </c>
      <c r="P12" s="141">
        <f>POWER(I4-$I$11,2)</f>
        <v>33.640000000000128</v>
      </c>
      <c r="Q12" s="141"/>
    </row>
    <row r="13" spans="6:17" x14ac:dyDescent="0.25">
      <c r="G13" s="139" t="s">
        <v>271</v>
      </c>
      <c r="H13" s="139" t="s">
        <v>272</v>
      </c>
      <c r="I13" s="139" t="s">
        <v>273</v>
      </c>
      <c r="K13" s="141" t="s">
        <v>37</v>
      </c>
      <c r="M13" s="141"/>
      <c r="N13" s="141">
        <f>POWER(G5-$G$11,2)</f>
        <v>190.44000000000031</v>
      </c>
      <c r="O13" s="141">
        <f>POWER(H5-$H$11,2)</f>
        <v>64</v>
      </c>
      <c r="P13" s="141">
        <f>POWER(I5-$I$11,2)</f>
        <v>262.43999999999966</v>
      </c>
      <c r="Q13" s="141"/>
    </row>
    <row r="14" spans="6:17" x14ac:dyDescent="0.25">
      <c r="G14" s="139">
        <v>5</v>
      </c>
      <c r="H14" s="139">
        <v>5</v>
      </c>
      <c r="I14" s="139">
        <v>5</v>
      </c>
      <c r="K14" s="142">
        <v>15</v>
      </c>
      <c r="L14" s="141"/>
      <c r="M14" s="141"/>
      <c r="N14" s="141">
        <f>POWER(G6-$G$11,2)</f>
        <v>67.23999999999981</v>
      </c>
      <c r="O14" s="141">
        <f>POWER(H6-$H$11,2)</f>
        <v>81</v>
      </c>
      <c r="P14" s="141">
        <f>POWER(I6-$I$11,2)</f>
        <v>77.440000000000197</v>
      </c>
      <c r="Q14" s="141"/>
    </row>
    <row r="15" spans="6:17" x14ac:dyDescent="0.25">
      <c r="K15" s="141"/>
      <c r="L15" s="141"/>
      <c r="M15" s="141"/>
      <c r="N15" s="141">
        <f>POWER(G7-$G$11,2)</f>
        <v>148.83999999999972</v>
      </c>
      <c r="O15" s="141">
        <f>POWER(H7-$H$11,2)</f>
        <v>1</v>
      </c>
      <c r="P15" s="141">
        <f>POWER(I7-$I$11,2)</f>
        <v>3.9999999999995456E-2</v>
      </c>
      <c r="Q15" s="141"/>
    </row>
    <row r="16" spans="6:17" x14ac:dyDescent="0.25">
      <c r="I16" t="s">
        <v>277</v>
      </c>
      <c r="J16" s="68">
        <f>M11/(L11-1)</f>
        <v>2358.1999999999975</v>
      </c>
      <c r="K16" s="141"/>
      <c r="L16" s="141"/>
      <c r="M16" s="141"/>
      <c r="N16" s="141">
        <f>POWER(G8-$G$11,2)</f>
        <v>3.2400000000000411</v>
      </c>
      <c r="O16" s="141">
        <f>POWER(H8-$H$11,2)</f>
        <v>100</v>
      </c>
      <c r="P16" s="141">
        <f>POWER(I8-$I$11,2)</f>
        <v>3.2400000000000411</v>
      </c>
      <c r="Q16" s="141"/>
    </row>
    <row r="17" spans="9:20" x14ac:dyDescent="0.25">
      <c r="I17" t="s">
        <v>278</v>
      </c>
      <c r="J17" s="68">
        <f>O11/(K14-L11)</f>
        <v>93.299999999999969</v>
      </c>
      <c r="K17" s="141"/>
      <c r="L17" s="141"/>
      <c r="M17" s="141"/>
      <c r="N17" s="141"/>
      <c r="O17" s="141"/>
      <c r="P17" s="141"/>
      <c r="Q17" s="141"/>
    </row>
    <row r="18" spans="9:20" x14ac:dyDescent="0.25">
      <c r="K18" s="141"/>
      <c r="L18" s="141"/>
      <c r="M18" s="141"/>
      <c r="N18" s="141"/>
      <c r="O18" s="141"/>
      <c r="P18" s="141"/>
      <c r="Q18" s="141"/>
    </row>
    <row r="19" spans="9:20" x14ac:dyDescent="0.25">
      <c r="I19" s="141" t="s">
        <v>208</v>
      </c>
      <c r="J19" s="144">
        <f>J16/J17</f>
        <v>25.275455519828494</v>
      </c>
      <c r="K19" s="141"/>
      <c r="L19" s="141"/>
      <c r="M19" s="141"/>
      <c r="N19" s="141"/>
      <c r="O19" s="141"/>
      <c r="P19" s="141"/>
      <c r="Q19" s="141"/>
    </row>
    <row r="20" spans="9:20" x14ac:dyDescent="0.25">
      <c r="I20" s="141" t="s">
        <v>279</v>
      </c>
      <c r="J20" s="142" t="s">
        <v>280</v>
      </c>
      <c r="K20" s="142">
        <f>L11-1</f>
        <v>2</v>
      </c>
      <c r="N20" t="s">
        <v>287</v>
      </c>
    </row>
    <row r="21" spans="9:20" x14ac:dyDescent="0.25">
      <c r="I21" s="141" t="s">
        <v>281</v>
      </c>
      <c r="J21" s="142" t="s">
        <v>282</v>
      </c>
      <c r="K21" s="142">
        <f>K14-L11</f>
        <v>12</v>
      </c>
    </row>
    <row r="22" spans="9:20" ht="15.75" thickBot="1" x14ac:dyDescent="0.3">
      <c r="I22" s="141" t="s">
        <v>106</v>
      </c>
      <c r="K22" s="142">
        <v>0.05</v>
      </c>
      <c r="N22" t="s">
        <v>288</v>
      </c>
    </row>
    <row r="23" spans="9:20" x14ac:dyDescent="0.25">
      <c r="I23" s="219" t="s">
        <v>284</v>
      </c>
      <c r="J23" s="219"/>
      <c r="K23" s="142">
        <v>3.8853</v>
      </c>
      <c r="N23" s="6" t="s">
        <v>289</v>
      </c>
      <c r="O23" s="6" t="s">
        <v>17</v>
      </c>
      <c r="P23" s="6" t="s">
        <v>16</v>
      </c>
      <c r="Q23" s="6" t="s">
        <v>290</v>
      </c>
      <c r="R23" s="6" t="s">
        <v>179</v>
      </c>
    </row>
    <row r="24" spans="9:20" x14ac:dyDescent="0.25">
      <c r="N24" s="1" t="s">
        <v>263</v>
      </c>
      <c r="O24" s="1">
        <v>5</v>
      </c>
      <c r="P24" s="1">
        <v>1246</v>
      </c>
      <c r="Q24" s="1">
        <v>249.2</v>
      </c>
      <c r="R24" s="1">
        <v>108.2</v>
      </c>
    </row>
    <row r="25" spans="9:20" x14ac:dyDescent="0.25">
      <c r="I25" s="145" t="s">
        <v>285</v>
      </c>
      <c r="J25" s="145" t="s">
        <v>128</v>
      </c>
      <c r="K25" s="145" t="s">
        <v>283</v>
      </c>
      <c r="L25" s="145" t="s">
        <v>286</v>
      </c>
      <c r="N25" s="1" t="s">
        <v>264</v>
      </c>
      <c r="O25" s="1">
        <v>5</v>
      </c>
      <c r="P25" s="1">
        <v>1130</v>
      </c>
      <c r="Q25" s="1">
        <v>226</v>
      </c>
      <c r="R25" s="1">
        <v>77.5</v>
      </c>
    </row>
    <row r="26" spans="9:20" ht="15.75" thickBot="1" x14ac:dyDescent="0.3">
      <c r="N26" s="2" t="s">
        <v>265</v>
      </c>
      <c r="O26" s="2">
        <v>5</v>
      </c>
      <c r="P26" s="2">
        <v>1029</v>
      </c>
      <c r="Q26" s="2">
        <v>205.8</v>
      </c>
      <c r="R26" s="2">
        <v>94.200000000000017</v>
      </c>
    </row>
    <row r="29" spans="9:20" ht="15.75" thickBot="1" x14ac:dyDescent="0.3">
      <c r="N29" t="s">
        <v>291</v>
      </c>
    </row>
    <row r="30" spans="9:20" x14ac:dyDescent="0.25">
      <c r="N30" s="6" t="s">
        <v>292</v>
      </c>
      <c r="O30" s="6" t="s">
        <v>293</v>
      </c>
      <c r="P30" s="6" t="s">
        <v>136</v>
      </c>
      <c r="Q30" s="6" t="s">
        <v>294</v>
      </c>
      <c r="R30" s="6" t="s">
        <v>295</v>
      </c>
      <c r="S30" s="6" t="s">
        <v>296</v>
      </c>
      <c r="T30" s="6" t="s">
        <v>297</v>
      </c>
    </row>
    <row r="31" spans="9:20" x14ac:dyDescent="0.25">
      <c r="N31" s="1" t="s">
        <v>298</v>
      </c>
      <c r="O31" s="1">
        <v>4716.3999999999996</v>
      </c>
      <c r="P31" s="1">
        <v>2</v>
      </c>
      <c r="Q31" s="1">
        <v>2358.1999999999998</v>
      </c>
      <c r="R31" s="1">
        <v>25.275455519828508</v>
      </c>
      <c r="S31" s="1">
        <v>4.9852350460386917E-5</v>
      </c>
      <c r="T31" s="1">
        <v>3.8852938346523942</v>
      </c>
    </row>
    <row r="32" spans="9:20" x14ac:dyDescent="0.25">
      <c r="N32" s="1" t="s">
        <v>299</v>
      </c>
      <c r="O32" s="1">
        <v>1119.5999999999999</v>
      </c>
      <c r="P32" s="1">
        <v>12</v>
      </c>
      <c r="Q32" s="1">
        <v>93.3</v>
      </c>
      <c r="R32" s="1"/>
      <c r="S32" s="1"/>
      <c r="T32" s="1"/>
    </row>
    <row r="33" spans="14:20" x14ac:dyDescent="0.25">
      <c r="N33" s="1"/>
      <c r="O33" s="1"/>
      <c r="P33" s="1"/>
      <c r="Q33" s="1"/>
      <c r="R33" s="1"/>
      <c r="S33" s="1"/>
      <c r="T33" s="1"/>
    </row>
    <row r="34" spans="14:20" ht="15.75" thickBot="1" x14ac:dyDescent="0.3">
      <c r="N34" s="2" t="s">
        <v>300</v>
      </c>
      <c r="O34" s="2">
        <v>5836</v>
      </c>
      <c r="P34" s="2">
        <v>14</v>
      </c>
      <c r="Q34" s="2"/>
      <c r="R34" s="2"/>
      <c r="S34" s="2"/>
      <c r="T34" s="2"/>
    </row>
  </sheetData>
  <mergeCells count="3">
    <mergeCell ref="K3:L3"/>
    <mergeCell ref="N10:P10"/>
    <mergeCell ref="I23:J23"/>
  </mergeCells>
  <phoneticPr fontId="3" type="noConversion"/>
  <pageMargins left="0.7" right="0.7" top="0.75" bottom="0.75" header="0.3" footer="0.3"/>
  <pageSetup paperSize="9" orientation="portrait" r:id="rId1"/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5FCA2F-27B3-4723-B3DC-81ACFA5262A6}">
  <dimension ref="H3:R18"/>
  <sheetViews>
    <sheetView workbookViewId="0">
      <selection activeCell="K20" sqref="K20"/>
    </sheetView>
  </sheetViews>
  <sheetFormatPr defaultRowHeight="15" x14ac:dyDescent="0.25"/>
  <cols>
    <col min="9" max="9" width="20.7109375" customWidth="1"/>
    <col min="10" max="10" width="6.28515625" customWidth="1"/>
    <col min="11" max="11" width="20.7109375" customWidth="1"/>
    <col min="12" max="12" width="6.28515625" customWidth="1"/>
  </cols>
  <sheetData>
    <row r="3" spans="8:18" x14ac:dyDescent="0.25">
      <c r="H3" s="260" t="s">
        <v>301</v>
      </c>
      <c r="I3" s="263" t="s">
        <v>304</v>
      </c>
      <c r="J3" s="264"/>
      <c r="K3" s="264"/>
      <c r="L3" s="265"/>
    </row>
    <row r="4" spans="8:18" x14ac:dyDescent="0.25">
      <c r="H4" s="260"/>
      <c r="I4" s="217" t="s">
        <v>305</v>
      </c>
      <c r="J4" s="218"/>
      <c r="K4" s="217" t="s">
        <v>306</v>
      </c>
      <c r="L4" s="218"/>
    </row>
    <row r="5" spans="8:18" x14ac:dyDescent="0.25">
      <c r="H5" s="255" t="s">
        <v>303</v>
      </c>
      <c r="I5" s="59" t="s">
        <v>307</v>
      </c>
      <c r="J5" s="140">
        <v>12</v>
      </c>
      <c r="K5" s="59" t="s">
        <v>307</v>
      </c>
      <c r="L5" s="140">
        <v>108</v>
      </c>
      <c r="M5" s="255">
        <f>SUM(J5,L5)</f>
        <v>120</v>
      </c>
      <c r="O5" s="156">
        <v>12</v>
      </c>
      <c r="P5" s="157">
        <v>14.4</v>
      </c>
      <c r="Q5" s="116"/>
      <c r="R5" s="147"/>
    </row>
    <row r="6" spans="8:18" x14ac:dyDescent="0.25">
      <c r="H6" s="256"/>
      <c r="I6" s="146" t="s">
        <v>308</v>
      </c>
      <c r="J6" s="103">
        <f>I9*M5/M9</f>
        <v>14.4</v>
      </c>
      <c r="K6" s="146" t="s">
        <v>308</v>
      </c>
      <c r="L6" s="150">
        <f>K9*M5/M9</f>
        <v>105.6</v>
      </c>
      <c r="M6" s="256"/>
      <c r="O6" s="158">
        <v>108</v>
      </c>
      <c r="P6" s="159">
        <v>105.6</v>
      </c>
      <c r="Q6" s="21"/>
      <c r="R6" s="148"/>
    </row>
    <row r="7" spans="8:18" x14ac:dyDescent="0.25">
      <c r="H7" s="261" t="s">
        <v>302</v>
      </c>
      <c r="I7" s="59" t="s">
        <v>307</v>
      </c>
      <c r="J7" s="140">
        <v>24</v>
      </c>
      <c r="K7" s="59" t="s">
        <v>307</v>
      </c>
      <c r="L7" s="140">
        <v>156</v>
      </c>
      <c r="M7" s="255">
        <f>SUM(J7,L7)</f>
        <v>180</v>
      </c>
      <c r="O7" s="158">
        <v>24</v>
      </c>
      <c r="P7" s="159">
        <v>21.6</v>
      </c>
      <c r="Q7" s="21"/>
      <c r="R7" s="148"/>
    </row>
    <row r="8" spans="8:18" x14ac:dyDescent="0.25">
      <c r="H8" s="262"/>
      <c r="I8" s="146" t="s">
        <v>308</v>
      </c>
      <c r="J8" s="103">
        <f>I9*M7/M9</f>
        <v>21.6</v>
      </c>
      <c r="K8" s="146" t="s">
        <v>308</v>
      </c>
      <c r="L8" s="151">
        <f>K9*M7/M9</f>
        <v>158.4</v>
      </c>
      <c r="M8" s="256"/>
      <c r="O8" s="158">
        <v>156</v>
      </c>
      <c r="P8" s="159">
        <v>158.4</v>
      </c>
      <c r="Q8" s="21"/>
      <c r="R8" s="148"/>
    </row>
    <row r="9" spans="8:18" x14ac:dyDescent="0.25">
      <c r="I9" s="255">
        <f>SUM(J5,J7)</f>
        <v>36</v>
      </c>
      <c r="J9" s="257"/>
      <c r="K9" s="255">
        <f>SUM(L5,L7)</f>
        <v>264</v>
      </c>
      <c r="L9" s="257"/>
      <c r="M9" s="255">
        <f>SUM(M5:M8)</f>
        <v>300</v>
      </c>
      <c r="O9" s="158"/>
      <c r="P9" s="159"/>
      <c r="Q9" s="21"/>
      <c r="R9" s="148"/>
    </row>
    <row r="10" spans="8:18" x14ac:dyDescent="0.25">
      <c r="I10" s="258"/>
      <c r="J10" s="259"/>
      <c r="K10" s="258"/>
      <c r="L10" s="259"/>
      <c r="M10" s="258"/>
      <c r="O10" s="158"/>
      <c r="P10" s="159"/>
      <c r="Q10" s="21"/>
      <c r="R10" s="148"/>
    </row>
    <row r="11" spans="8:18" x14ac:dyDescent="0.25">
      <c r="O11" s="158"/>
      <c r="P11" s="159">
        <f>_xlfn.CHISQ.TEST(O5:O8,P5:P8)</f>
        <v>0.85958506233401522</v>
      </c>
      <c r="Q11" s="21" t="s">
        <v>320</v>
      </c>
      <c r="R11" s="148"/>
    </row>
    <row r="12" spans="8:18" x14ac:dyDescent="0.25">
      <c r="O12" s="117"/>
      <c r="P12" s="21" t="s">
        <v>322</v>
      </c>
      <c r="Q12" s="21"/>
      <c r="R12" s="148"/>
    </row>
    <row r="13" spans="8:18" x14ac:dyDescent="0.25">
      <c r="I13" s="141" t="s">
        <v>309</v>
      </c>
      <c r="J13" s="152">
        <f>POWER(J5-J6,2)/J6+POWER(L5-L6,2)/L6+POWER(J7-J8,2)/J8+POWER(L7-L8,2)/L8</f>
        <v>0.75757575757575768</v>
      </c>
      <c r="O13" s="160"/>
      <c r="P13" s="161"/>
      <c r="Q13" s="161"/>
      <c r="R13" s="162"/>
    </row>
    <row r="14" spans="8:18" x14ac:dyDescent="0.25">
      <c r="I14" s="141"/>
      <c r="J14" s="141"/>
    </row>
    <row r="15" spans="8:18" x14ac:dyDescent="0.25">
      <c r="I15" s="141" t="s">
        <v>136</v>
      </c>
      <c r="J15" s="142">
        <f>(2-1)*(2-1)</f>
        <v>1</v>
      </c>
      <c r="K15" s="142" t="s">
        <v>320</v>
      </c>
      <c r="M15" t="s">
        <v>321</v>
      </c>
      <c r="N15">
        <v>0.05</v>
      </c>
    </row>
    <row r="16" spans="8:18" x14ac:dyDescent="0.25">
      <c r="I16" s="141" t="s">
        <v>310</v>
      </c>
      <c r="J16" s="142">
        <v>3.8410000000000002</v>
      </c>
      <c r="K16" s="142">
        <f>_xlfn.CHISQ.INV.RT(N15,J15)</f>
        <v>3.8414588206941236</v>
      </c>
    </row>
    <row r="18" spans="9:13" x14ac:dyDescent="0.25">
      <c r="I18" s="145" t="s">
        <v>309</v>
      </c>
      <c r="J18" s="141" t="s">
        <v>121</v>
      </c>
      <c r="K18" s="142" t="s">
        <v>310</v>
      </c>
      <c r="L18" s="254" t="s">
        <v>311</v>
      </c>
      <c r="M18" s="254"/>
    </row>
  </sheetData>
  <mergeCells count="12">
    <mergeCell ref="H3:H4"/>
    <mergeCell ref="I4:J4"/>
    <mergeCell ref="H5:H6"/>
    <mergeCell ref="H7:H8"/>
    <mergeCell ref="I3:L3"/>
    <mergeCell ref="K4:L4"/>
    <mergeCell ref="L18:M18"/>
    <mergeCell ref="M5:M6"/>
    <mergeCell ref="M7:M8"/>
    <mergeCell ref="I9:J10"/>
    <mergeCell ref="K9:L10"/>
    <mergeCell ref="M9:M10"/>
  </mergeCells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8185BD-5D78-4A68-A9FE-F320AA48F50D}">
  <dimension ref="H3:R18"/>
  <sheetViews>
    <sheetView workbookViewId="0">
      <selection activeCell="I15" sqref="I15:I16"/>
    </sheetView>
  </sheetViews>
  <sheetFormatPr defaultRowHeight="15" x14ac:dyDescent="0.25"/>
  <cols>
    <col min="8" max="8" width="11.5703125" customWidth="1"/>
    <col min="10" max="10" width="9.5703125" bestFit="1" customWidth="1"/>
  </cols>
  <sheetData>
    <row r="3" spans="8:18" x14ac:dyDescent="0.25">
      <c r="I3" s="266"/>
      <c r="J3" s="267"/>
      <c r="K3" s="267"/>
      <c r="L3" s="267"/>
      <c r="M3" s="267"/>
      <c r="N3" s="267"/>
    </row>
    <row r="4" spans="8:18" x14ac:dyDescent="0.25">
      <c r="H4" s="149" t="s">
        <v>317</v>
      </c>
      <c r="I4" s="217" t="s">
        <v>314</v>
      </c>
      <c r="J4" s="218"/>
      <c r="K4" s="217" t="s">
        <v>315</v>
      </c>
      <c r="L4" s="218"/>
      <c r="M4" s="217" t="s">
        <v>316</v>
      </c>
      <c r="N4" s="218"/>
    </row>
    <row r="5" spans="8:18" x14ac:dyDescent="0.25">
      <c r="H5" s="255" t="s">
        <v>312</v>
      </c>
      <c r="I5" s="59" t="s">
        <v>307</v>
      </c>
      <c r="J5" s="140">
        <v>63</v>
      </c>
      <c r="K5" s="59" t="s">
        <v>307</v>
      </c>
      <c r="L5" s="140">
        <v>20</v>
      </c>
      <c r="M5" s="59" t="s">
        <v>307</v>
      </c>
      <c r="N5" s="140">
        <v>37</v>
      </c>
      <c r="O5" s="255">
        <f>SUM(J5,L5,N5)</f>
        <v>120</v>
      </c>
      <c r="Q5" s="140">
        <v>63</v>
      </c>
      <c r="R5" s="103">
        <v>60</v>
      </c>
    </row>
    <row r="6" spans="8:18" x14ac:dyDescent="0.25">
      <c r="H6" s="256"/>
      <c r="I6" s="146" t="s">
        <v>308</v>
      </c>
      <c r="J6" s="103">
        <f>I9*O5/O9</f>
        <v>60</v>
      </c>
      <c r="K6" s="146" t="s">
        <v>308</v>
      </c>
      <c r="L6" s="151">
        <f>K9*O5/O9</f>
        <v>30</v>
      </c>
      <c r="M6" s="146" t="s">
        <v>308</v>
      </c>
      <c r="N6" s="151">
        <f>M9*O5/O9</f>
        <v>30</v>
      </c>
      <c r="O6" s="256"/>
      <c r="Q6" s="140">
        <v>20</v>
      </c>
      <c r="R6">
        <v>30</v>
      </c>
    </row>
    <row r="7" spans="8:18" x14ac:dyDescent="0.25">
      <c r="H7" s="261" t="s">
        <v>313</v>
      </c>
      <c r="I7" s="59" t="s">
        <v>307</v>
      </c>
      <c r="J7" s="140">
        <v>37</v>
      </c>
      <c r="K7" s="59" t="s">
        <v>307</v>
      </c>
      <c r="L7" s="140">
        <v>30</v>
      </c>
      <c r="M7" s="59" t="s">
        <v>307</v>
      </c>
      <c r="N7" s="140">
        <v>13</v>
      </c>
      <c r="O7" s="255">
        <f>SUM(J7,L7,N7)</f>
        <v>80</v>
      </c>
      <c r="Q7" s="140">
        <v>37</v>
      </c>
      <c r="R7">
        <v>30</v>
      </c>
    </row>
    <row r="8" spans="8:18" x14ac:dyDescent="0.25">
      <c r="H8" s="262"/>
      <c r="I8" s="146" t="s">
        <v>308</v>
      </c>
      <c r="J8" s="103">
        <f>I9*O7/O9</f>
        <v>40</v>
      </c>
      <c r="K8" s="146" t="s">
        <v>308</v>
      </c>
      <c r="L8" s="151">
        <f>K9*O7/O9</f>
        <v>20</v>
      </c>
      <c r="M8" s="146" t="s">
        <v>308</v>
      </c>
      <c r="N8" s="151">
        <f>M9*O7/O9</f>
        <v>20</v>
      </c>
      <c r="O8" s="256"/>
      <c r="Q8" s="140">
        <v>37</v>
      </c>
      <c r="R8">
        <v>40</v>
      </c>
    </row>
    <row r="9" spans="8:18" x14ac:dyDescent="0.25">
      <c r="I9" s="255">
        <f>SUM(J5,J7)</f>
        <v>100</v>
      </c>
      <c r="J9" s="257"/>
      <c r="K9" s="255">
        <f>SUM(L5,L7)</f>
        <v>50</v>
      </c>
      <c r="L9" s="257"/>
      <c r="M9" s="255">
        <f>SUM(N5,N7)</f>
        <v>50</v>
      </c>
      <c r="N9" s="257"/>
      <c r="O9" s="255">
        <f>SUM(O5:O8)</f>
        <v>200</v>
      </c>
      <c r="Q9" s="140">
        <v>30</v>
      </c>
      <c r="R9">
        <v>20</v>
      </c>
    </row>
    <row r="10" spans="8:18" x14ac:dyDescent="0.25">
      <c r="I10" s="258"/>
      <c r="J10" s="259"/>
      <c r="K10" s="258"/>
      <c r="L10" s="259"/>
      <c r="M10" s="258"/>
      <c r="N10" s="259"/>
      <c r="O10" s="258"/>
      <c r="Q10" s="140">
        <v>13</v>
      </c>
      <c r="R10">
        <v>20</v>
      </c>
    </row>
    <row r="13" spans="8:18" x14ac:dyDescent="0.25">
      <c r="I13" s="141" t="s">
        <v>309</v>
      </c>
      <c r="J13" s="153">
        <f>POWER(J5-J6,2)/J6+POWER(L5-L6,2)/L6+POWER(N5-N6,2)/N6+POWER(J7-J8,2)/J8+POWER(L7-L8,2)/L8+POWER(N7-N8,2)/N8</f>
        <v>12.791666666666668</v>
      </c>
    </row>
    <row r="14" spans="8:18" x14ac:dyDescent="0.25">
      <c r="I14" s="141"/>
      <c r="J14" s="141"/>
      <c r="R14">
        <f>_xlfn.CHISQ.TEST(Q5:Q10,R5:R10)</f>
        <v>2.5411291676995202E-2</v>
      </c>
    </row>
    <row r="15" spans="8:18" x14ac:dyDescent="0.25">
      <c r="I15" s="141" t="s">
        <v>136</v>
      </c>
      <c r="J15" s="142">
        <f>(3-1)*(2-1)</f>
        <v>2</v>
      </c>
      <c r="K15" s="68" t="s">
        <v>320</v>
      </c>
      <c r="M15" s="154">
        <v>0.01</v>
      </c>
      <c r="N15" s="155" t="s">
        <v>319</v>
      </c>
    </row>
    <row r="16" spans="8:18" x14ac:dyDescent="0.25">
      <c r="I16" s="141" t="s">
        <v>318</v>
      </c>
      <c r="J16" s="142">
        <v>9.2100000000000009</v>
      </c>
      <c r="K16" s="68">
        <f>_xlfn.CHISQ.INV.RT(M15,J15)</f>
        <v>9.2103403719761818</v>
      </c>
    </row>
    <row r="17" spans="9:12" x14ac:dyDescent="0.25">
      <c r="I17" s="141"/>
      <c r="J17" s="141"/>
    </row>
    <row r="18" spans="9:12" x14ac:dyDescent="0.25">
      <c r="I18" s="145" t="s">
        <v>309</v>
      </c>
      <c r="J18" s="141" t="s">
        <v>128</v>
      </c>
      <c r="K18" s="142" t="s">
        <v>318</v>
      </c>
      <c r="L18" s="145" t="s">
        <v>247</v>
      </c>
    </row>
  </sheetData>
  <mergeCells count="12">
    <mergeCell ref="I3:N3"/>
    <mergeCell ref="M4:N4"/>
    <mergeCell ref="M9:N10"/>
    <mergeCell ref="I4:J4"/>
    <mergeCell ref="K4:L4"/>
    <mergeCell ref="H5:H6"/>
    <mergeCell ref="H7:H8"/>
    <mergeCell ref="O7:O8"/>
    <mergeCell ref="I9:J10"/>
    <mergeCell ref="K9:L10"/>
    <mergeCell ref="O9:O10"/>
    <mergeCell ref="O5:O6"/>
  </mergeCells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2C3FEC-12CC-4EA3-8BA6-D09C8739836E}">
  <dimension ref="G2:Q27"/>
  <sheetViews>
    <sheetView topLeftCell="A10" workbookViewId="0">
      <selection activeCell="J23" sqref="J23"/>
    </sheetView>
  </sheetViews>
  <sheetFormatPr defaultRowHeight="15" x14ac:dyDescent="0.25"/>
  <sheetData>
    <row r="2" spans="7:17" x14ac:dyDescent="0.25">
      <c r="H2" s="219"/>
      <c r="I2" s="219"/>
      <c r="J2" s="219"/>
      <c r="K2" s="219"/>
      <c r="L2" s="219"/>
      <c r="M2" s="219"/>
    </row>
    <row r="3" spans="7:17" x14ac:dyDescent="0.25">
      <c r="G3" s="268" t="s">
        <v>323</v>
      </c>
      <c r="H3" s="264" t="s">
        <v>324</v>
      </c>
      <c r="I3" s="264"/>
      <c r="J3" s="264"/>
      <c r="K3" s="264"/>
      <c r="L3" s="264"/>
      <c r="M3" s="265"/>
    </row>
    <row r="4" spans="7:17" x14ac:dyDescent="0.25">
      <c r="G4" s="269"/>
      <c r="H4" s="270" t="s">
        <v>325</v>
      </c>
      <c r="I4" s="218"/>
      <c r="J4" s="270" t="s">
        <v>326</v>
      </c>
      <c r="K4" s="218"/>
      <c r="L4" s="217" t="s">
        <v>327</v>
      </c>
      <c r="M4" s="218"/>
    </row>
    <row r="5" spans="7:17" x14ac:dyDescent="0.25">
      <c r="G5" s="255" t="s">
        <v>331</v>
      </c>
      <c r="H5" s="59" t="s">
        <v>307</v>
      </c>
      <c r="I5" s="140">
        <v>24</v>
      </c>
      <c r="J5" s="59" t="s">
        <v>307</v>
      </c>
      <c r="K5" s="140">
        <v>32</v>
      </c>
      <c r="L5" s="59" t="s">
        <v>307</v>
      </c>
      <c r="M5" s="140">
        <v>14</v>
      </c>
      <c r="N5" s="255">
        <f>SUM(I5,K5,L5,M5)</f>
        <v>70</v>
      </c>
      <c r="P5" s="115">
        <v>24</v>
      </c>
      <c r="Q5" s="147">
        <v>24.5</v>
      </c>
    </row>
    <row r="6" spans="7:17" x14ac:dyDescent="0.25">
      <c r="G6" s="256"/>
      <c r="H6" s="146" t="s">
        <v>308</v>
      </c>
      <c r="I6" s="103">
        <f>H13*N5/N13</f>
        <v>24.5</v>
      </c>
      <c r="J6" s="146" t="s">
        <v>308</v>
      </c>
      <c r="K6" s="151">
        <f>J13*N5/N13</f>
        <v>30.8</v>
      </c>
      <c r="L6" s="146" t="s">
        <v>308</v>
      </c>
      <c r="M6" s="151">
        <f>L13*N5/N13</f>
        <v>14.7</v>
      </c>
      <c r="N6" s="256"/>
      <c r="P6" s="117">
        <v>32</v>
      </c>
      <c r="Q6" s="148">
        <v>30.8</v>
      </c>
    </row>
    <row r="7" spans="7:17" x14ac:dyDescent="0.25">
      <c r="G7" s="255" t="s">
        <v>328</v>
      </c>
      <c r="H7" s="59" t="s">
        <v>307</v>
      </c>
      <c r="I7" s="140">
        <v>22</v>
      </c>
      <c r="J7" s="59" t="s">
        <v>307</v>
      </c>
      <c r="K7" s="140">
        <v>26</v>
      </c>
      <c r="L7" s="59" t="s">
        <v>307</v>
      </c>
      <c r="M7" s="140">
        <v>12</v>
      </c>
      <c r="N7" s="255">
        <f>SUM(I7,K7,L7,M7)</f>
        <v>60</v>
      </c>
      <c r="P7" s="117">
        <v>14</v>
      </c>
      <c r="Q7" s="148">
        <v>14.7</v>
      </c>
    </row>
    <row r="8" spans="7:17" x14ac:dyDescent="0.25">
      <c r="G8" s="256"/>
      <c r="H8" s="146" t="s">
        <v>308</v>
      </c>
      <c r="I8" s="103">
        <f>H13*N7/N13</f>
        <v>21</v>
      </c>
      <c r="J8" s="146" t="s">
        <v>308</v>
      </c>
      <c r="K8" s="103">
        <f>J13*N7/N13</f>
        <v>26.4</v>
      </c>
      <c r="L8" s="146" t="s">
        <v>308</v>
      </c>
      <c r="M8" s="151">
        <f>L13*N7/N13</f>
        <v>12.6</v>
      </c>
      <c r="N8" s="256"/>
      <c r="P8" s="117">
        <v>22</v>
      </c>
      <c r="Q8" s="148">
        <v>21</v>
      </c>
    </row>
    <row r="9" spans="7:17" x14ac:dyDescent="0.25">
      <c r="G9" s="255" t="s">
        <v>329</v>
      </c>
      <c r="H9" s="59" t="s">
        <v>307</v>
      </c>
      <c r="I9" s="140">
        <v>10</v>
      </c>
      <c r="J9" s="59" t="s">
        <v>307</v>
      </c>
      <c r="K9" s="140">
        <v>14</v>
      </c>
      <c r="L9" s="59" t="s">
        <v>307</v>
      </c>
      <c r="M9" s="140">
        <v>6</v>
      </c>
      <c r="N9" s="255">
        <f>SUM(I9,K9,L9,M9)</f>
        <v>30</v>
      </c>
      <c r="P9" s="117">
        <v>26</v>
      </c>
      <c r="Q9" s="148">
        <v>26.4</v>
      </c>
    </row>
    <row r="10" spans="7:17" x14ac:dyDescent="0.25">
      <c r="G10" s="256"/>
      <c r="H10" s="146" t="s">
        <v>308</v>
      </c>
      <c r="I10" s="103">
        <f>H13*N9/N13</f>
        <v>10.5</v>
      </c>
      <c r="J10" s="146" t="s">
        <v>308</v>
      </c>
      <c r="K10" s="151">
        <f>J13*N9/N13</f>
        <v>13.2</v>
      </c>
      <c r="L10" s="146" t="s">
        <v>308</v>
      </c>
      <c r="M10" s="151">
        <f>L13*N9/N13</f>
        <v>6.3</v>
      </c>
      <c r="N10" s="256"/>
      <c r="P10" s="117">
        <v>12</v>
      </c>
      <c r="Q10" s="148">
        <v>12.6</v>
      </c>
    </row>
    <row r="11" spans="7:17" x14ac:dyDescent="0.25">
      <c r="G11" s="261" t="s">
        <v>330</v>
      </c>
      <c r="H11" s="59" t="s">
        <v>307</v>
      </c>
      <c r="I11" s="140">
        <v>14</v>
      </c>
      <c r="J11" s="59" t="s">
        <v>307</v>
      </c>
      <c r="K11" s="140">
        <v>16</v>
      </c>
      <c r="L11" s="59" t="s">
        <v>307</v>
      </c>
      <c r="M11" s="140">
        <v>10</v>
      </c>
      <c r="N11" s="255">
        <f>SUM(I11,K11,L11,M11)</f>
        <v>40</v>
      </c>
      <c r="P11" s="117">
        <v>10</v>
      </c>
      <c r="Q11" s="148">
        <v>10.5</v>
      </c>
    </row>
    <row r="12" spans="7:17" x14ac:dyDescent="0.25">
      <c r="G12" s="262"/>
      <c r="H12" s="146" t="s">
        <v>308</v>
      </c>
      <c r="I12" s="103">
        <f>H13*N11/N13</f>
        <v>14</v>
      </c>
      <c r="J12" s="146" t="s">
        <v>308</v>
      </c>
      <c r="K12" s="151">
        <f>J13*N11/N13</f>
        <v>17.600000000000001</v>
      </c>
      <c r="L12" s="146" t="s">
        <v>308</v>
      </c>
      <c r="M12" s="151">
        <f>L13*N11/N13</f>
        <v>8.4</v>
      </c>
      <c r="N12" s="256"/>
      <c r="P12" s="117">
        <v>14</v>
      </c>
      <c r="Q12" s="148">
        <v>13.2</v>
      </c>
    </row>
    <row r="13" spans="7:17" x14ac:dyDescent="0.25">
      <c r="H13" s="255">
        <f>SUM(I5,I7,I9,I11)</f>
        <v>70</v>
      </c>
      <c r="I13" s="257"/>
      <c r="J13" s="255">
        <f>SUM(K5,K7,K9,K11)</f>
        <v>88</v>
      </c>
      <c r="K13" s="257"/>
      <c r="L13" s="255">
        <f>SUM(M5,M7,M9,M11)</f>
        <v>42</v>
      </c>
      <c r="M13" s="257"/>
      <c r="N13" s="255">
        <f>SUM(N5:N12)</f>
        <v>200</v>
      </c>
      <c r="P13" s="117">
        <v>6</v>
      </c>
      <c r="Q13" s="148">
        <v>6.3</v>
      </c>
    </row>
    <row r="14" spans="7:17" x14ac:dyDescent="0.25">
      <c r="H14" s="258"/>
      <c r="I14" s="259"/>
      <c r="J14" s="258"/>
      <c r="K14" s="259"/>
      <c r="L14" s="258"/>
      <c r="M14" s="259"/>
      <c r="N14" s="258"/>
      <c r="P14" s="117">
        <v>14</v>
      </c>
      <c r="Q14" s="148">
        <v>14</v>
      </c>
    </row>
    <row r="15" spans="7:17" x14ac:dyDescent="0.25">
      <c r="P15" s="117">
        <v>16</v>
      </c>
      <c r="Q15" s="148">
        <v>17.600000000000001</v>
      </c>
    </row>
    <row r="16" spans="7:17" x14ac:dyDescent="0.25">
      <c r="P16" s="117">
        <v>10</v>
      </c>
      <c r="Q16" s="148">
        <v>8.4</v>
      </c>
    </row>
    <row r="17" spans="8:17" x14ac:dyDescent="0.25">
      <c r="I17" t="s">
        <v>309</v>
      </c>
      <c r="J17" s="144">
        <f>SUM(I18:K21)</f>
        <v>0.70933828076685224</v>
      </c>
      <c r="P17" s="117"/>
      <c r="Q17" s="148"/>
    </row>
    <row r="18" spans="8:17" x14ac:dyDescent="0.25">
      <c r="I18" s="115">
        <f>POWER(I5-I6,2)/I6</f>
        <v>1.020408163265306E-2</v>
      </c>
      <c r="J18" s="116">
        <f>POWER(K5-K6,2)/K6</f>
        <v>4.6753246753246699E-2</v>
      </c>
      <c r="K18" s="147">
        <f>POWER(M5-M6,2)/M6</f>
        <v>3.3333333333333263E-2</v>
      </c>
      <c r="P18" s="117"/>
      <c r="Q18" s="148"/>
    </row>
    <row r="19" spans="8:17" x14ac:dyDescent="0.25">
      <c r="I19" s="117">
        <f>POWER(I7-I8,2)/I8</f>
        <v>4.7619047619047616E-2</v>
      </c>
      <c r="J19" s="21">
        <f>POWER(K7-K8,2)/K8</f>
        <v>6.0606060606060181E-3</v>
      </c>
      <c r="K19" s="148">
        <f>POWER(M7-M8,2)/M8</f>
        <v>2.8571428571428539E-2</v>
      </c>
      <c r="P19" s="160"/>
      <c r="Q19" s="162">
        <f>CHITEST(P5:P16,Q5:Q16)</f>
        <v>0.99999139087884958</v>
      </c>
    </row>
    <row r="20" spans="8:17" x14ac:dyDescent="0.25">
      <c r="I20" s="117">
        <f>POWER(I9-I10,2)/I10</f>
        <v>2.3809523809523808E-2</v>
      </c>
      <c r="J20" s="21">
        <f>POWER(K9-K10,2)/K10</f>
        <v>4.8484848484848575E-2</v>
      </c>
      <c r="K20" s="148">
        <f>POWER(M9-M10,2)/M10</f>
        <v>1.428571428571427E-2</v>
      </c>
      <c r="P20" t="s">
        <v>332</v>
      </c>
    </row>
    <row r="21" spans="8:17" x14ac:dyDescent="0.25">
      <c r="I21" s="160">
        <f>POWER(I11-I12,2)/I12</f>
        <v>0</v>
      </c>
      <c r="J21" s="161">
        <f>POWER(K11-K12,2)/K12</f>
        <v>0.1454545454545457</v>
      </c>
      <c r="K21" s="162">
        <f>POWER(M11-M12,2)/M12</f>
        <v>0.30476190476190462</v>
      </c>
    </row>
    <row r="23" spans="8:17" x14ac:dyDescent="0.25">
      <c r="I23" s="141" t="s">
        <v>136</v>
      </c>
      <c r="J23" s="142">
        <f>(3-1)*(4-1)</f>
        <v>6</v>
      </c>
    </row>
    <row r="24" spans="8:17" x14ac:dyDescent="0.25">
      <c r="I24" t="s">
        <v>319</v>
      </c>
      <c r="J24" s="142">
        <v>0.05</v>
      </c>
    </row>
    <row r="25" spans="8:17" x14ac:dyDescent="0.25">
      <c r="I25" s="141" t="s">
        <v>310</v>
      </c>
      <c r="J25" s="142">
        <v>12.592000000000001</v>
      </c>
      <c r="K25" s="68">
        <f>_xlfn.CHISQ.INV.RT(J24,J23)</f>
        <v>12.591587243743978</v>
      </c>
      <c r="L25" s="68" t="s">
        <v>320</v>
      </c>
    </row>
    <row r="27" spans="8:17" x14ac:dyDescent="0.25">
      <c r="H27" s="145" t="s">
        <v>309</v>
      </c>
      <c r="I27" s="141" t="s">
        <v>121</v>
      </c>
      <c r="J27" s="142" t="s">
        <v>310</v>
      </c>
      <c r="K27" s="254" t="s">
        <v>311</v>
      </c>
      <c r="L27" s="254"/>
    </row>
  </sheetData>
  <mergeCells count="19">
    <mergeCell ref="N5:N6"/>
    <mergeCell ref="H2:M2"/>
    <mergeCell ref="G3:G4"/>
    <mergeCell ref="H3:M3"/>
    <mergeCell ref="H4:I4"/>
    <mergeCell ref="J4:K4"/>
    <mergeCell ref="L4:M4"/>
    <mergeCell ref="G5:G6"/>
    <mergeCell ref="G9:G10"/>
    <mergeCell ref="N9:N10"/>
    <mergeCell ref="K27:L27"/>
    <mergeCell ref="G7:G8"/>
    <mergeCell ref="N7:N8"/>
    <mergeCell ref="G11:G12"/>
    <mergeCell ref="N11:N12"/>
    <mergeCell ref="H13:I14"/>
    <mergeCell ref="J13:K14"/>
    <mergeCell ref="L13:M14"/>
    <mergeCell ref="N13:N14"/>
  </mergeCells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087DF-13E0-46FC-93DC-F8324357D8FB}">
  <dimension ref="C1:R40"/>
  <sheetViews>
    <sheetView topLeftCell="C13" workbookViewId="0">
      <selection activeCell="L64" sqref="L64:M87"/>
    </sheetView>
  </sheetViews>
  <sheetFormatPr defaultRowHeight="15" x14ac:dyDescent="0.25"/>
  <cols>
    <col min="6" max="6" width="11.5703125" customWidth="1"/>
    <col min="7" max="7" width="11.7109375" customWidth="1"/>
    <col min="10" max="10" width="16.140625" customWidth="1"/>
    <col min="11" max="11" width="20" customWidth="1"/>
    <col min="13" max="13" width="14" customWidth="1"/>
  </cols>
  <sheetData>
    <row r="1" spans="5:18" ht="15.75" thickBot="1" x14ac:dyDescent="0.3"/>
    <row r="2" spans="5:18" x14ac:dyDescent="0.25">
      <c r="E2" s="143" t="s">
        <v>333</v>
      </c>
      <c r="F2" s="143" t="s">
        <v>334</v>
      </c>
      <c r="G2" s="6" t="s">
        <v>351</v>
      </c>
    </row>
    <row r="3" spans="5:18" x14ac:dyDescent="0.25">
      <c r="E3" s="143">
        <v>20</v>
      </c>
      <c r="F3" s="143">
        <v>122</v>
      </c>
      <c r="G3" s="1">
        <v>130.89934888768315</v>
      </c>
    </row>
    <row r="4" spans="5:18" x14ac:dyDescent="0.25">
      <c r="E4" s="143">
        <v>21</v>
      </c>
      <c r="F4" s="143">
        <v>141</v>
      </c>
      <c r="G4" s="1">
        <v>138.7737384698861</v>
      </c>
      <c r="J4" t="s">
        <v>335</v>
      </c>
    </row>
    <row r="5" spans="5:18" ht="15.75" thickBot="1" x14ac:dyDescent="0.3">
      <c r="E5" s="143">
        <v>21</v>
      </c>
      <c r="F5" s="143">
        <v>142</v>
      </c>
      <c r="G5" s="1">
        <v>138.7737384698861</v>
      </c>
    </row>
    <row r="6" spans="5:18" x14ac:dyDescent="0.25">
      <c r="E6" s="143">
        <v>22</v>
      </c>
      <c r="F6" s="143">
        <v>145</v>
      </c>
      <c r="G6" s="1">
        <v>146.64812805208902</v>
      </c>
      <c r="J6" s="3" t="s">
        <v>336</v>
      </c>
      <c r="K6" s="3"/>
    </row>
    <row r="7" spans="5:18" x14ac:dyDescent="0.25">
      <c r="E7" s="143">
        <v>23</v>
      </c>
      <c r="F7" s="143">
        <v>148</v>
      </c>
      <c r="G7" s="1">
        <v>154.52251763429194</v>
      </c>
      <c r="J7" s="1" t="s">
        <v>337</v>
      </c>
      <c r="K7" s="1">
        <v>0.98595725862862571</v>
      </c>
    </row>
    <row r="8" spans="5:18" x14ac:dyDescent="0.25">
      <c r="E8" s="143">
        <v>25</v>
      </c>
      <c r="F8" s="143">
        <v>178</v>
      </c>
      <c r="G8" s="1">
        <v>170.27129679869779</v>
      </c>
      <c r="J8" s="1" t="s">
        <v>338</v>
      </c>
      <c r="K8" s="1">
        <v>0.97211171584247469</v>
      </c>
      <c r="L8" s="170" t="s">
        <v>363</v>
      </c>
      <c r="M8" s="144"/>
      <c r="N8" s="144"/>
      <c r="P8" s="172" t="s">
        <v>365</v>
      </c>
      <c r="Q8" s="172"/>
      <c r="R8" s="172"/>
    </row>
    <row r="9" spans="5:18" x14ac:dyDescent="0.25">
      <c r="E9" s="143">
        <v>27</v>
      </c>
      <c r="F9" s="143">
        <v>204</v>
      </c>
      <c r="G9" s="1">
        <v>186.02007596310366</v>
      </c>
      <c r="J9" s="1" t="s">
        <v>339</v>
      </c>
      <c r="K9" s="1">
        <v>0.96957641728269972</v>
      </c>
    </row>
    <row r="10" spans="5:18" x14ac:dyDescent="0.25">
      <c r="E10" s="143">
        <v>32</v>
      </c>
      <c r="F10" s="143">
        <v>225</v>
      </c>
      <c r="G10" s="1">
        <v>225.39202387411831</v>
      </c>
      <c r="J10" s="1" t="s">
        <v>6</v>
      </c>
      <c r="K10" s="1">
        <v>9.5762252053017463</v>
      </c>
    </row>
    <row r="11" spans="5:18" ht="15.75" thickBot="1" x14ac:dyDescent="0.3">
      <c r="E11" s="143">
        <v>33</v>
      </c>
      <c r="F11" s="143">
        <v>227</v>
      </c>
      <c r="G11" s="1">
        <v>233.26641345632126</v>
      </c>
      <c r="J11" s="2" t="s">
        <v>180</v>
      </c>
      <c r="K11" s="2">
        <v>13</v>
      </c>
    </row>
    <row r="12" spans="5:18" x14ac:dyDescent="0.25">
      <c r="E12" s="143">
        <v>33</v>
      </c>
      <c r="F12" s="143">
        <v>229</v>
      </c>
      <c r="G12" s="1">
        <v>233.26641345632126</v>
      </c>
    </row>
    <row r="13" spans="5:18" ht="15.75" thickBot="1" x14ac:dyDescent="0.3">
      <c r="E13" s="143">
        <v>35</v>
      </c>
      <c r="F13" s="143">
        <v>237</v>
      </c>
      <c r="G13" s="1">
        <v>249.01519262072711</v>
      </c>
      <c r="J13" t="s">
        <v>291</v>
      </c>
    </row>
    <row r="14" spans="5:18" x14ac:dyDescent="0.25">
      <c r="E14" s="143">
        <v>38</v>
      </c>
      <c r="F14" s="143">
        <v>266</v>
      </c>
      <c r="G14" s="1">
        <v>272.63836136733585</v>
      </c>
      <c r="J14" s="6"/>
      <c r="K14" s="6" t="s">
        <v>136</v>
      </c>
      <c r="L14" s="6" t="s">
        <v>293</v>
      </c>
      <c r="M14" s="6" t="s">
        <v>294</v>
      </c>
      <c r="N14" s="6" t="s">
        <v>295</v>
      </c>
      <c r="O14" s="6" t="s">
        <v>343</v>
      </c>
    </row>
    <row r="15" spans="5:18" ht="15.75" thickBot="1" x14ac:dyDescent="0.3">
      <c r="E15" s="143">
        <v>39</v>
      </c>
      <c r="F15" s="143">
        <v>296</v>
      </c>
      <c r="G15" s="2">
        <v>280.51275094953883</v>
      </c>
      <c r="J15" s="1" t="s">
        <v>340</v>
      </c>
      <c r="K15" s="1">
        <v>1</v>
      </c>
      <c r="L15" s="1">
        <v>35162.178095913856</v>
      </c>
      <c r="M15" s="1">
        <v>35162.178095913856</v>
      </c>
      <c r="N15" s="1">
        <v>383.43086343595564</v>
      </c>
      <c r="O15" s="1">
        <v>6.7049361021013746E-10</v>
      </c>
    </row>
    <row r="16" spans="5:18" x14ac:dyDescent="0.25">
      <c r="J16" s="1" t="s">
        <v>341</v>
      </c>
      <c r="K16" s="1">
        <v>11</v>
      </c>
      <c r="L16" s="1">
        <v>1008.7449810092214</v>
      </c>
      <c r="M16" s="1">
        <v>91.704089182656489</v>
      </c>
      <c r="N16" s="1"/>
      <c r="O16" s="1"/>
    </row>
    <row r="17" spans="3:18" ht="15.75" thickBot="1" x14ac:dyDescent="0.3">
      <c r="C17" s="68" t="s">
        <v>356</v>
      </c>
      <c r="D17" t="s">
        <v>353</v>
      </c>
      <c r="E17" s="167">
        <v>37</v>
      </c>
      <c r="G17" s="166">
        <f>$K$20+$K$21*E17</f>
        <v>264.76397178513298</v>
      </c>
      <c r="J17" s="2" t="s">
        <v>300</v>
      </c>
      <c r="K17" s="2">
        <v>12</v>
      </c>
      <c r="L17" s="2">
        <v>36170.923076923078</v>
      </c>
      <c r="M17" s="2"/>
      <c r="N17" s="2"/>
      <c r="O17" s="2"/>
    </row>
    <row r="18" spans="3:18" ht="15.75" thickBot="1" x14ac:dyDescent="0.3">
      <c r="C18" s="68" t="s">
        <v>356</v>
      </c>
      <c r="D18" t="s">
        <v>353</v>
      </c>
      <c r="E18" s="167">
        <v>100</v>
      </c>
      <c r="G18" s="166">
        <f>$K$20+$K$21*E18</f>
        <v>760.85051546391742</v>
      </c>
      <c r="J18" s="170" t="s">
        <v>363</v>
      </c>
      <c r="K18" s="144"/>
      <c r="L18" s="144">
        <f>L15/L17</f>
        <v>0.97211171584247469</v>
      </c>
    </row>
    <row r="19" spans="3:18" x14ac:dyDescent="0.25">
      <c r="C19" s="68" t="s">
        <v>356</v>
      </c>
      <c r="D19" t="s">
        <v>353</v>
      </c>
      <c r="E19" s="167">
        <v>39</v>
      </c>
      <c r="G19" s="166">
        <f>$K$20+$K$21*E19</f>
        <v>280.51275094953883</v>
      </c>
      <c r="J19" s="6"/>
      <c r="K19" s="6" t="s">
        <v>344</v>
      </c>
      <c r="L19" s="6" t="s">
        <v>6</v>
      </c>
      <c r="M19" s="6" t="s">
        <v>183</v>
      </c>
      <c r="N19" s="6" t="s">
        <v>296</v>
      </c>
      <c r="O19" s="6" t="s">
        <v>345</v>
      </c>
      <c r="P19" s="6" t="s">
        <v>346</v>
      </c>
      <c r="Q19" s="6" t="s">
        <v>347</v>
      </c>
      <c r="R19" s="6" t="s">
        <v>348</v>
      </c>
    </row>
    <row r="20" spans="3:18" x14ac:dyDescent="0.25">
      <c r="C20" s="68" t="s">
        <v>356</v>
      </c>
      <c r="D20" t="s">
        <v>353</v>
      </c>
      <c r="E20" s="167">
        <v>50</v>
      </c>
      <c r="G20" s="166">
        <f>$K$20+$K$21*E20</f>
        <v>367.13103635377104</v>
      </c>
      <c r="I20" s="68" t="s">
        <v>354</v>
      </c>
      <c r="J20" s="1" t="s">
        <v>342</v>
      </c>
      <c r="K20" s="164">
        <v>-26.588442756375429</v>
      </c>
      <c r="L20" s="1">
        <v>11.71941389551932</v>
      </c>
      <c r="M20" s="1">
        <v>-2.2687519182628217</v>
      </c>
      <c r="N20" s="1">
        <v>4.4404746122853819E-2</v>
      </c>
      <c r="O20" s="1">
        <v>-52.382698825385191</v>
      </c>
      <c r="P20" s="1">
        <v>-0.79418668736566644</v>
      </c>
      <c r="Q20" s="1">
        <v>-52.382698825385191</v>
      </c>
      <c r="R20" s="1">
        <v>-0.79418668736566644</v>
      </c>
    </row>
    <row r="21" spans="3:18" ht="15.75" thickBot="1" x14ac:dyDescent="0.3">
      <c r="I21" s="68" t="s">
        <v>355</v>
      </c>
      <c r="J21" s="2" t="s">
        <v>333</v>
      </c>
      <c r="K21" s="165">
        <v>7.8743895822029293</v>
      </c>
      <c r="L21" s="2">
        <v>0.40213637966226701</v>
      </c>
      <c r="M21" s="2">
        <v>19.581390743150894</v>
      </c>
      <c r="N21" s="2">
        <v>6.7049361021013973E-10</v>
      </c>
      <c r="O21" s="2">
        <v>6.9892933782333024</v>
      </c>
      <c r="P21" s="2">
        <v>8.7594857861725561</v>
      </c>
      <c r="Q21" s="2">
        <v>6.9892933782333024</v>
      </c>
      <c r="R21" s="2">
        <v>8.7594857861725561</v>
      </c>
    </row>
    <row r="25" spans="3:18" x14ac:dyDescent="0.25">
      <c r="J25" t="s">
        <v>349</v>
      </c>
    </row>
    <row r="26" spans="3:18" ht="15.75" thickBot="1" x14ac:dyDescent="0.3"/>
    <row r="27" spans="3:18" x14ac:dyDescent="0.25">
      <c r="J27" s="6" t="s">
        <v>350</v>
      </c>
      <c r="K27" s="6" t="s">
        <v>351</v>
      </c>
      <c r="L27" s="6" t="s">
        <v>352</v>
      </c>
    </row>
    <row r="28" spans="3:18" x14ac:dyDescent="0.25">
      <c r="J28" s="1">
        <v>1</v>
      </c>
      <c r="K28" s="1">
        <v>130.89934888768315</v>
      </c>
      <c r="L28" s="1">
        <v>-8.8993488876831464</v>
      </c>
    </row>
    <row r="29" spans="3:18" x14ac:dyDescent="0.25">
      <c r="J29" s="1">
        <v>2</v>
      </c>
      <c r="K29" s="1">
        <v>138.7737384698861</v>
      </c>
      <c r="L29" s="1">
        <v>2.2262615301139022</v>
      </c>
    </row>
    <row r="30" spans="3:18" x14ac:dyDescent="0.25">
      <c r="J30" s="1">
        <v>3</v>
      </c>
      <c r="K30" s="1">
        <v>138.7737384698861</v>
      </c>
      <c r="L30" s="1">
        <v>3.2262615301139022</v>
      </c>
    </row>
    <row r="31" spans="3:18" x14ac:dyDescent="0.25">
      <c r="J31" s="1">
        <v>4</v>
      </c>
      <c r="K31" s="1">
        <v>146.64812805208902</v>
      </c>
      <c r="L31" s="1">
        <v>-1.6481280520890209</v>
      </c>
    </row>
    <row r="32" spans="3:18" x14ac:dyDescent="0.25">
      <c r="J32" s="1">
        <v>5</v>
      </c>
      <c r="K32" s="1">
        <v>154.52251763429194</v>
      </c>
      <c r="L32" s="1">
        <v>-6.522517634291944</v>
      </c>
    </row>
    <row r="33" spans="10:12" x14ac:dyDescent="0.25">
      <c r="J33" s="1">
        <v>6</v>
      </c>
      <c r="K33" s="1">
        <v>170.27129679869779</v>
      </c>
      <c r="L33" s="1">
        <v>7.7287032013022099</v>
      </c>
    </row>
    <row r="34" spans="10:12" x14ac:dyDescent="0.25">
      <c r="J34" s="1">
        <v>7</v>
      </c>
      <c r="K34" s="1">
        <v>186.02007596310366</v>
      </c>
      <c r="L34" s="1">
        <v>17.979924036896335</v>
      </c>
    </row>
    <row r="35" spans="10:12" x14ac:dyDescent="0.25">
      <c r="J35" s="1">
        <v>8</v>
      </c>
      <c r="K35" s="1">
        <v>225.39202387411831</v>
      </c>
      <c r="L35" s="1">
        <v>-0.39202387411830841</v>
      </c>
    </row>
    <row r="36" spans="10:12" x14ac:dyDescent="0.25">
      <c r="J36" s="1">
        <v>9</v>
      </c>
      <c r="K36" s="1">
        <v>233.26641345632126</v>
      </c>
      <c r="L36" s="1">
        <v>-6.2664134563212599</v>
      </c>
    </row>
    <row r="37" spans="10:12" x14ac:dyDescent="0.25">
      <c r="J37" s="1">
        <v>10</v>
      </c>
      <c r="K37" s="1">
        <v>233.26641345632126</v>
      </c>
      <c r="L37" s="1">
        <v>-4.2664134563212599</v>
      </c>
    </row>
    <row r="38" spans="10:12" x14ac:dyDescent="0.25">
      <c r="J38" s="1">
        <v>11</v>
      </c>
      <c r="K38" s="1">
        <v>249.01519262072711</v>
      </c>
      <c r="L38" s="1">
        <v>-12.015192620727106</v>
      </c>
    </row>
    <row r="39" spans="10:12" x14ac:dyDescent="0.25">
      <c r="J39" s="1">
        <v>12</v>
      </c>
      <c r="K39" s="1">
        <v>272.63836136733585</v>
      </c>
      <c r="L39" s="1">
        <v>-6.6383613673358468</v>
      </c>
    </row>
    <row r="40" spans="10:12" ht="15.75" thickBot="1" x14ac:dyDescent="0.3">
      <c r="J40" s="2">
        <v>13</v>
      </c>
      <c r="K40" s="2">
        <v>280.51275094953883</v>
      </c>
      <c r="L40" s="2">
        <v>15.487249050461173</v>
      </c>
    </row>
  </sheetData>
  <sortState xmlns:xlrd2="http://schemas.microsoft.com/office/spreadsheetml/2017/richdata2" ref="F3:F15">
    <sortCondition ref="F3"/>
  </sortState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40240C-0BCD-4375-A6AB-A4EDD496F08F}">
  <dimension ref="B3:X38"/>
  <sheetViews>
    <sheetView topLeftCell="A10" workbookViewId="0">
      <selection activeCell="F5" sqref="F5"/>
    </sheetView>
  </sheetViews>
  <sheetFormatPr defaultRowHeight="15" x14ac:dyDescent="0.25"/>
  <cols>
    <col min="3" max="4" width="22.140625" customWidth="1"/>
    <col min="5" max="5" width="12.7109375" customWidth="1"/>
    <col min="6" max="6" width="9.42578125" customWidth="1"/>
    <col min="7" max="14" width="9" customWidth="1"/>
    <col min="15" max="15" width="19.42578125" customWidth="1"/>
    <col min="16" max="16" width="16.7109375" customWidth="1"/>
    <col min="17" max="23" width="13.5703125" customWidth="1"/>
  </cols>
  <sheetData>
    <row r="3" spans="3:23" ht="15.75" thickBot="1" x14ac:dyDescent="0.3">
      <c r="C3" s="163" t="s">
        <v>358</v>
      </c>
      <c r="D3" s="163" t="s">
        <v>357</v>
      </c>
    </row>
    <row r="4" spans="3:23" x14ac:dyDescent="0.25">
      <c r="C4" s="163" t="s">
        <v>27</v>
      </c>
      <c r="D4" s="163" t="s">
        <v>28</v>
      </c>
      <c r="E4" s="6" t="s">
        <v>359</v>
      </c>
      <c r="F4" s="113"/>
      <c r="G4" s="6" t="s">
        <v>352</v>
      </c>
      <c r="I4" s="6"/>
      <c r="J4" s="6" t="s">
        <v>27</v>
      </c>
      <c r="K4" s="6" t="s">
        <v>28</v>
      </c>
      <c r="R4" s="187" t="s">
        <v>385</v>
      </c>
      <c r="S4" s="219" t="s">
        <v>386</v>
      </c>
      <c r="T4" s="219"/>
      <c r="U4" s="187" t="s">
        <v>387</v>
      </c>
    </row>
    <row r="5" spans="3:23" x14ac:dyDescent="0.25">
      <c r="C5" s="163">
        <v>1400</v>
      </c>
      <c r="D5" s="163">
        <v>245</v>
      </c>
      <c r="E5" s="1">
        <v>251.92316258351892</v>
      </c>
      <c r="F5" s="1">
        <f>D5-E5</f>
        <v>-6.9231625835189163</v>
      </c>
      <c r="G5" s="1">
        <v>-6.9231625835189163</v>
      </c>
      <c r="I5" s="1" t="s">
        <v>27</v>
      </c>
      <c r="J5" s="1">
        <v>1</v>
      </c>
      <c r="K5" s="1"/>
      <c r="O5" t="s">
        <v>335</v>
      </c>
    </row>
    <row r="6" spans="3:23" ht="15.75" thickBot="1" x14ac:dyDescent="0.3">
      <c r="C6" s="163">
        <v>1600</v>
      </c>
      <c r="D6" s="163">
        <v>312</v>
      </c>
      <c r="E6" s="1">
        <v>273.87671014953867</v>
      </c>
      <c r="F6" s="164">
        <f t="shared" ref="F6:F14" si="0">D6-E6</f>
        <v>38.123289850461333</v>
      </c>
      <c r="G6" s="1">
        <v>38.123289850461333</v>
      </c>
      <c r="I6" s="2" t="s">
        <v>28</v>
      </c>
      <c r="J6" s="2">
        <v>0.76211371321625776</v>
      </c>
      <c r="K6" s="2">
        <v>1</v>
      </c>
      <c r="Q6" s="171"/>
    </row>
    <row r="7" spans="3:23" x14ac:dyDescent="0.25">
      <c r="C7" s="163">
        <v>1700</v>
      </c>
      <c r="D7" s="163">
        <v>279</v>
      </c>
      <c r="E7" s="1">
        <v>284.8534839325485</v>
      </c>
      <c r="F7" s="1">
        <f t="shared" si="0"/>
        <v>-5.8534839325484995</v>
      </c>
      <c r="G7" s="1">
        <v>-5.8534839325484995</v>
      </c>
      <c r="O7" s="3" t="s">
        <v>336</v>
      </c>
      <c r="P7" s="3"/>
    </row>
    <row r="8" spans="3:23" x14ac:dyDescent="0.25">
      <c r="C8" s="163">
        <v>1875</v>
      </c>
      <c r="D8" s="163">
        <v>308</v>
      </c>
      <c r="E8" s="1">
        <v>304.06283805281578</v>
      </c>
      <c r="F8" s="1">
        <f t="shared" si="0"/>
        <v>3.9371619471842223</v>
      </c>
      <c r="G8" s="1">
        <v>3.9371619471842223</v>
      </c>
      <c r="O8" s="1" t="s">
        <v>337</v>
      </c>
      <c r="P8" s="1">
        <v>0.76211371321625765</v>
      </c>
      <c r="S8" s="170">
        <f>Q16/Q18</f>
        <v>0.58081731187227226</v>
      </c>
    </row>
    <row r="9" spans="3:23" x14ac:dyDescent="0.25">
      <c r="C9" s="163">
        <v>1100</v>
      </c>
      <c r="D9" s="163">
        <v>199</v>
      </c>
      <c r="E9" s="1">
        <v>218.99284123448933</v>
      </c>
      <c r="F9" s="1">
        <f t="shared" si="0"/>
        <v>-19.992841234489333</v>
      </c>
      <c r="G9" s="1">
        <v>-19.992841234489333</v>
      </c>
      <c r="O9" s="170" t="s">
        <v>338</v>
      </c>
      <c r="P9" s="170">
        <v>0.58081731187227226</v>
      </c>
      <c r="Q9" s="170" t="s">
        <v>402</v>
      </c>
      <c r="R9" s="144"/>
      <c r="S9" s="144"/>
      <c r="T9" s="172" t="s">
        <v>364</v>
      </c>
      <c r="U9" s="172"/>
    </row>
    <row r="10" spans="3:23" x14ac:dyDescent="0.25">
      <c r="C10" s="163">
        <v>1550</v>
      </c>
      <c r="D10" s="163">
        <v>219</v>
      </c>
      <c r="E10" s="1">
        <v>268.38832325803372</v>
      </c>
      <c r="F10" s="1">
        <f t="shared" si="0"/>
        <v>-49.388323258033722</v>
      </c>
      <c r="G10" s="1">
        <v>-49.388323258033722</v>
      </c>
      <c r="O10" s="1" t="s">
        <v>339</v>
      </c>
      <c r="P10" s="1">
        <v>0.52841947585630633</v>
      </c>
    </row>
    <row r="11" spans="3:23" x14ac:dyDescent="0.25">
      <c r="C11" s="163">
        <v>2350</v>
      </c>
      <c r="D11" s="163">
        <v>405</v>
      </c>
      <c r="E11" s="1">
        <v>356.20251352211261</v>
      </c>
      <c r="F11" s="1">
        <f t="shared" si="0"/>
        <v>48.797486477887389</v>
      </c>
      <c r="G11" s="1">
        <v>48.797486477887389</v>
      </c>
      <c r="O11" s="173" t="s">
        <v>6</v>
      </c>
      <c r="P11" s="173">
        <v>41.330323650299405</v>
      </c>
      <c r="Q11" s="174" t="s">
        <v>366</v>
      </c>
      <c r="R11" s="174"/>
      <c r="S11" s="175">
        <f>SQRT(Q17/(P12-2))</f>
        <v>41.330323650299405</v>
      </c>
      <c r="T11" s="177">
        <f>SQRT(R17)</f>
        <v>41.330323650299405</v>
      </c>
    </row>
    <row r="12" spans="3:23" ht="15.75" thickBot="1" x14ac:dyDescent="0.3">
      <c r="C12" s="163">
        <v>2450</v>
      </c>
      <c r="D12" s="163">
        <v>324</v>
      </c>
      <c r="E12" s="1">
        <v>367.1792873051225</v>
      </c>
      <c r="F12" s="1">
        <f t="shared" si="0"/>
        <v>-43.1792873051225</v>
      </c>
      <c r="G12" s="1">
        <v>-43.1792873051225</v>
      </c>
      <c r="O12" s="2" t="s">
        <v>180</v>
      </c>
      <c r="P12" s="176">
        <v>10</v>
      </c>
    </row>
    <row r="13" spans="3:23" x14ac:dyDescent="0.25">
      <c r="C13" s="163">
        <v>1425</v>
      </c>
      <c r="D13" s="163">
        <v>319</v>
      </c>
      <c r="E13" s="1">
        <v>254.66735602927139</v>
      </c>
      <c r="F13" s="1">
        <f t="shared" si="0"/>
        <v>64.332643970728611</v>
      </c>
      <c r="G13" s="1">
        <v>64.332643970728611</v>
      </c>
      <c r="R13" s="180">
        <f>Q16/P16</f>
        <v>18934.934775692011</v>
      </c>
    </row>
    <row r="14" spans="3:23" ht="15.75" thickBot="1" x14ac:dyDescent="0.3">
      <c r="C14" s="163">
        <v>1700</v>
      </c>
      <c r="D14" s="163">
        <v>255</v>
      </c>
      <c r="E14" s="2">
        <v>284.8534839325485</v>
      </c>
      <c r="F14" s="1">
        <f t="shared" si="0"/>
        <v>-29.8534839325485</v>
      </c>
      <c r="G14" s="2">
        <v>-29.8534839325485</v>
      </c>
      <c r="O14" t="s">
        <v>291</v>
      </c>
      <c r="R14">
        <f>Q17/P17</f>
        <v>1708.1956530384984</v>
      </c>
      <c r="S14">
        <f>R16/R17</f>
        <v>11.084757616617857</v>
      </c>
      <c r="U14" s="1" t="s">
        <v>372</v>
      </c>
    </row>
    <row r="15" spans="3:23" x14ac:dyDescent="0.25">
      <c r="H15" s="163"/>
      <c r="I15" s="187"/>
      <c r="J15" s="187"/>
      <c r="K15" s="187"/>
      <c r="L15" s="187"/>
      <c r="M15" s="187"/>
      <c r="N15" s="187"/>
      <c r="O15" s="6"/>
      <c r="P15" s="6" t="s">
        <v>136</v>
      </c>
      <c r="Q15" s="6" t="s">
        <v>293</v>
      </c>
      <c r="R15" s="6" t="s">
        <v>294</v>
      </c>
      <c r="S15" s="6" t="s">
        <v>295</v>
      </c>
      <c r="T15" s="6" t="s">
        <v>343</v>
      </c>
      <c r="V15" s="113" t="s">
        <v>136</v>
      </c>
      <c r="W15">
        <v>1</v>
      </c>
    </row>
    <row r="16" spans="3:23" x14ac:dyDescent="0.25">
      <c r="J16" s="203" t="s">
        <v>386</v>
      </c>
      <c r="K16" s="203"/>
      <c r="L16" s="203"/>
      <c r="M16" s="187" t="s">
        <v>388</v>
      </c>
      <c r="N16" s="187">
        <v>1</v>
      </c>
      <c r="O16" s="1" t="s">
        <v>340</v>
      </c>
      <c r="P16" s="164">
        <v>1</v>
      </c>
      <c r="Q16" s="164">
        <v>18934.934775692011</v>
      </c>
      <c r="R16" s="1">
        <v>18934.934775692011</v>
      </c>
      <c r="S16" s="1">
        <v>11.084757616617857</v>
      </c>
      <c r="T16" s="205">
        <v>1.0394016376015495E-2</v>
      </c>
      <c r="U16" s="206" t="s">
        <v>398</v>
      </c>
      <c r="V16" s="113" t="s">
        <v>136</v>
      </c>
      <c r="W16" s="1">
        <v>8</v>
      </c>
    </row>
    <row r="17" spans="2:24" x14ac:dyDescent="0.25">
      <c r="B17" t="s">
        <v>360</v>
      </c>
      <c r="C17" s="168">
        <v>1000</v>
      </c>
      <c r="D17" s="168"/>
      <c r="E17">
        <f>$P$21+$P$22*C17</f>
        <v>208.01606745147984</v>
      </c>
      <c r="J17" s="203"/>
      <c r="K17" s="203"/>
      <c r="L17" s="203"/>
      <c r="M17" s="187" t="s">
        <v>389</v>
      </c>
      <c r="N17" s="187">
        <f>P12-N16-1</f>
        <v>8</v>
      </c>
      <c r="O17" s="1" t="s">
        <v>341</v>
      </c>
      <c r="P17" s="1">
        <v>8</v>
      </c>
      <c r="Q17" s="164">
        <v>13665.565224307988</v>
      </c>
      <c r="R17" s="164">
        <v>1708.1956530384984</v>
      </c>
      <c r="T17" s="1"/>
      <c r="V17" s="169" t="s">
        <v>373</v>
      </c>
      <c r="W17">
        <v>0.05</v>
      </c>
      <c r="X17" s="68">
        <v>5.32</v>
      </c>
    </row>
    <row r="18" spans="2:24" ht="15.75" thickBot="1" x14ac:dyDescent="0.3">
      <c r="B18" t="s">
        <v>360</v>
      </c>
      <c r="C18" s="168">
        <v>2000</v>
      </c>
      <c r="E18">
        <f>$P$21+$P$22*C18</f>
        <v>317.78380528157879</v>
      </c>
      <c r="J18" s="203"/>
      <c r="K18" s="203"/>
      <c r="L18" s="203"/>
      <c r="M18" s="187" t="s">
        <v>390</v>
      </c>
      <c r="N18" s="187">
        <f>P12-1</f>
        <v>9</v>
      </c>
      <c r="O18" s="2" t="s">
        <v>300</v>
      </c>
      <c r="P18" s="2">
        <v>9</v>
      </c>
      <c r="Q18" s="2">
        <v>32600.5</v>
      </c>
      <c r="R18" s="2"/>
      <c r="S18" s="2"/>
      <c r="T18" s="2"/>
    </row>
    <row r="19" spans="2:24" ht="15.75" thickBot="1" x14ac:dyDescent="0.3">
      <c r="J19" s="203"/>
      <c r="K19" s="203"/>
      <c r="L19" s="203"/>
      <c r="M19" s="187"/>
      <c r="N19" s="187"/>
      <c r="O19" s="170" t="s">
        <v>363</v>
      </c>
      <c r="P19" s="144"/>
      <c r="Q19" s="144">
        <f>Q16/Q18</f>
        <v>0.58081731187227226</v>
      </c>
      <c r="R19">
        <f>P21/Q21</f>
        <v>1.6929595126366201</v>
      </c>
      <c r="S19" t="s">
        <v>370</v>
      </c>
      <c r="T19" s="228" t="s">
        <v>371</v>
      </c>
      <c r="U19" s="228"/>
    </row>
    <row r="20" spans="2:24" x14ac:dyDescent="0.25">
      <c r="O20" s="6"/>
      <c r="P20" s="6" t="s">
        <v>344</v>
      </c>
      <c r="Q20" s="6" t="s">
        <v>6</v>
      </c>
      <c r="R20" s="6" t="s">
        <v>183</v>
      </c>
      <c r="S20" s="6" t="s">
        <v>296</v>
      </c>
      <c r="T20" s="6" t="s">
        <v>345</v>
      </c>
      <c r="U20" s="6" t="s">
        <v>346</v>
      </c>
      <c r="V20" s="6" t="s">
        <v>347</v>
      </c>
      <c r="W20" s="6" t="s">
        <v>348</v>
      </c>
    </row>
    <row r="21" spans="2:24" x14ac:dyDescent="0.25">
      <c r="M21" t="s">
        <v>375</v>
      </c>
      <c r="N21">
        <f>INTERCEPT(D5:D14,C5:C14)</f>
        <v>98.248329621380833</v>
      </c>
      <c r="O21" s="134" t="s">
        <v>342</v>
      </c>
      <c r="P21" s="134">
        <v>98.248329621380833</v>
      </c>
      <c r="Q21" s="1">
        <v>58.033478584711453</v>
      </c>
      <c r="R21" s="1">
        <v>1.6929595126366201</v>
      </c>
      <c r="S21" s="1">
        <v>0.12891881585496773</v>
      </c>
      <c r="T21" s="134">
        <v>-35.577111975246254</v>
      </c>
      <c r="U21" s="134">
        <v>232.07377121800792</v>
      </c>
      <c r="V21" s="1">
        <v>-35.577111975246254</v>
      </c>
      <c r="W21" s="1">
        <v>232.07377121800792</v>
      </c>
    </row>
    <row r="22" spans="2:24" ht="15.75" thickBot="1" x14ac:dyDescent="0.3">
      <c r="K22" t="s">
        <v>374</v>
      </c>
      <c r="L22">
        <f>(E5-E6)/(C5-C6)</f>
        <v>0.10976773783009876</v>
      </c>
      <c r="M22" t="s">
        <v>374</v>
      </c>
      <c r="N22">
        <f>SLOPE(D5:D14,C5:C14)</f>
        <v>0.10976773783009863</v>
      </c>
      <c r="O22" s="135" t="s">
        <v>27</v>
      </c>
      <c r="P22" s="181">
        <v>0.10976773783009899</v>
      </c>
      <c r="Q22" s="178">
        <v>3.296944326214666E-2</v>
      </c>
      <c r="R22" s="2">
        <v>3.3293779624154802</v>
      </c>
      <c r="S22" s="2">
        <v>1.0394016376015495E-2</v>
      </c>
      <c r="T22" s="2">
        <v>3.3740065332209274E-2</v>
      </c>
      <c r="U22" s="2">
        <v>0.18579541032798799</v>
      </c>
      <c r="V22" s="2">
        <v>3.3740065332209274E-2</v>
      </c>
      <c r="W22" s="2">
        <v>0.18579541032798799</v>
      </c>
    </row>
    <row r="23" spans="2:24" x14ac:dyDescent="0.25">
      <c r="M23" t="s">
        <v>376</v>
      </c>
      <c r="N23">
        <f>RSQ(D5:D14,C5:C14)</f>
        <v>0.58081731187227226</v>
      </c>
      <c r="P23" s="182">
        <f>_xlfn.COVARIANCE.S(C5:C14,D5:D14)</f>
        <v>19166.666666666668</v>
      </c>
      <c r="R23" s="172">
        <f>(P22-0)/Q22</f>
        <v>3.3293779624154913</v>
      </c>
      <c r="S23" t="s">
        <v>368</v>
      </c>
      <c r="T23" s="228" t="s">
        <v>369</v>
      </c>
      <c r="U23" s="228"/>
    </row>
    <row r="24" spans="2:24" x14ac:dyDescent="0.25">
      <c r="O24" s="68">
        <f>AVERAGE(D5:D14)-P25*AVERAGE(C5:C14)</f>
        <v>98.248329621380833</v>
      </c>
      <c r="P24" s="182">
        <f>_xlfn.VAR.S(C5:C14)</f>
        <v>174611.11111111112</v>
      </c>
      <c r="Q24" s="179" t="s">
        <v>367</v>
      </c>
      <c r="R24" s="172">
        <f>-_xlfn.T.INV.2T(0.05,P12-2)</f>
        <v>-2.3060041352041671</v>
      </c>
      <c r="S24" s="172">
        <f>_xlfn.T.INV.2T(0.05,P12-2)</f>
        <v>2.3060041352041671</v>
      </c>
    </row>
    <row r="25" spans="2:24" x14ac:dyDescent="0.25">
      <c r="E25" t="s">
        <v>394</v>
      </c>
      <c r="P25" s="182">
        <f>P23/P24</f>
        <v>0.10976773783009863</v>
      </c>
      <c r="Q25">
        <f>P11/G37</f>
        <v>3.2969443262146653E-2</v>
      </c>
    </row>
    <row r="26" spans="2:24" x14ac:dyDescent="0.25">
      <c r="E26">
        <f>AVERAGE(C5:C14)</f>
        <v>1715</v>
      </c>
      <c r="G26">
        <f>POWER(C5-$E$26,2)</f>
        <v>99225</v>
      </c>
      <c r="H26">
        <v>1</v>
      </c>
      <c r="J26">
        <f>POWER(G5,2)</f>
        <v>47.930180157836318</v>
      </c>
      <c r="T26">
        <f>P22-U29*Q22</f>
        <v>3.3740065332209634E-2</v>
      </c>
      <c r="U26">
        <f>P22+U29*Q22</f>
        <v>0.18579541032798835</v>
      </c>
    </row>
    <row r="27" spans="2:24" ht="15.75" thickBot="1" x14ac:dyDescent="0.3">
      <c r="G27">
        <f t="shared" ref="G27:G34" si="1">POWER(C6-$E$26,2)</f>
        <v>13225</v>
      </c>
      <c r="H27">
        <v>2</v>
      </c>
      <c r="J27">
        <f t="shared" ref="J27:J35" si="2">POWER(G6,2)</f>
        <v>1453.3852290222881</v>
      </c>
      <c r="P27" s="169" t="s">
        <v>358</v>
      </c>
    </row>
    <row r="28" spans="2:24" x14ac:dyDescent="0.25">
      <c r="G28">
        <f t="shared" si="1"/>
        <v>225</v>
      </c>
      <c r="H28">
        <v>3</v>
      </c>
      <c r="J28">
        <f t="shared" si="2"/>
        <v>34.26327414860345</v>
      </c>
      <c r="P28" s="169" t="s">
        <v>27</v>
      </c>
      <c r="Q28" s="6" t="s">
        <v>352</v>
      </c>
    </row>
    <row r="29" spans="2:24" x14ac:dyDescent="0.25">
      <c r="G29">
        <f t="shared" si="1"/>
        <v>25600</v>
      </c>
      <c r="H29">
        <v>4</v>
      </c>
      <c r="J29">
        <f t="shared" si="2"/>
        <v>15.501244198355456</v>
      </c>
      <c r="P29" s="169">
        <v>1400</v>
      </c>
      <c r="Q29" s="1">
        <v>-6.9231625835189163</v>
      </c>
      <c r="T29" t="s">
        <v>361</v>
      </c>
      <c r="U29" s="68">
        <f>_xlfn.T.INV.2T(0.05,8)</f>
        <v>2.3060041352041671</v>
      </c>
    </row>
    <row r="30" spans="2:24" x14ac:dyDescent="0.25">
      <c r="G30">
        <f t="shared" si="1"/>
        <v>378225</v>
      </c>
      <c r="H30">
        <v>5</v>
      </c>
      <c r="J30">
        <f t="shared" si="2"/>
        <v>399.71370062749696</v>
      </c>
      <c r="P30" s="169">
        <v>1600</v>
      </c>
      <c r="Q30" s="1">
        <v>38.123289850461333</v>
      </c>
      <c r="T30" t="s">
        <v>362</v>
      </c>
      <c r="U30" s="68">
        <f>P21+U29*Q21</f>
        <v>232.07377121800792</v>
      </c>
    </row>
    <row r="31" spans="2:24" x14ac:dyDescent="0.25">
      <c r="G31">
        <f t="shared" si="1"/>
        <v>27225</v>
      </c>
      <c r="H31">
        <v>6</v>
      </c>
      <c r="J31">
        <f t="shared" si="2"/>
        <v>2439.2064742400348</v>
      </c>
      <c r="P31" s="169">
        <v>1700</v>
      </c>
      <c r="Q31" s="1">
        <v>-5.8534839325484995</v>
      </c>
      <c r="T31" t="s">
        <v>362</v>
      </c>
      <c r="U31" s="68">
        <f>P21-Q21*U29</f>
        <v>-35.577111975246254</v>
      </c>
    </row>
    <row r="32" spans="2:24" x14ac:dyDescent="0.25">
      <c r="G32">
        <f t="shared" si="1"/>
        <v>403225</v>
      </c>
      <c r="H32">
        <v>7</v>
      </c>
      <c r="J32">
        <f t="shared" si="2"/>
        <v>2381.1946865596028</v>
      </c>
      <c r="P32" s="169">
        <v>1875</v>
      </c>
      <c r="Q32" s="1">
        <v>3.9371619471842223</v>
      </c>
    </row>
    <row r="33" spans="6:17" x14ac:dyDescent="0.25">
      <c r="G33">
        <f t="shared" si="1"/>
        <v>540225</v>
      </c>
      <c r="H33">
        <v>8</v>
      </c>
      <c r="J33">
        <f t="shared" si="2"/>
        <v>1864.4508521783132</v>
      </c>
      <c r="P33" s="169">
        <v>1100</v>
      </c>
      <c r="Q33" s="1">
        <v>-19.992841234489333</v>
      </c>
    </row>
    <row r="34" spans="6:17" x14ac:dyDescent="0.25">
      <c r="G34">
        <f t="shared" si="1"/>
        <v>84100</v>
      </c>
      <c r="H34">
        <v>9</v>
      </c>
      <c r="J34">
        <f t="shared" si="2"/>
        <v>4138.6890802645239</v>
      </c>
      <c r="P34" s="169">
        <v>1550</v>
      </c>
      <c r="Q34" s="1">
        <v>-49.388323258033722</v>
      </c>
    </row>
    <row r="35" spans="6:17" x14ac:dyDescent="0.25">
      <c r="G35">
        <f>POWER(C14-$E$26,2)</f>
        <v>225</v>
      </c>
      <c r="H35">
        <v>10</v>
      </c>
      <c r="J35">
        <f t="shared" si="2"/>
        <v>891.23050291093148</v>
      </c>
      <c r="P35" s="169">
        <v>2350</v>
      </c>
      <c r="Q35" s="1">
        <v>48.797486477887389</v>
      </c>
    </row>
    <row r="36" spans="6:17" x14ac:dyDescent="0.25">
      <c r="F36" t="s">
        <v>393</v>
      </c>
      <c r="G36">
        <f>SUM(G26:G35)</f>
        <v>1571500</v>
      </c>
      <c r="J36">
        <f>SUM(J26:J35)</f>
        <v>13665.565224307988</v>
      </c>
      <c r="K36" t="s">
        <v>395</v>
      </c>
      <c r="P36" s="169">
        <v>2450</v>
      </c>
      <c r="Q36" s="1">
        <v>-43.1792873051225</v>
      </c>
    </row>
    <row r="37" spans="6:17" x14ac:dyDescent="0.25">
      <c r="G37">
        <f>SQRT(G36)</f>
        <v>1253.594830876388</v>
      </c>
      <c r="P37" s="169">
        <v>1425</v>
      </c>
      <c r="Q37" s="1">
        <v>64.332643970728611</v>
      </c>
    </row>
    <row r="38" spans="6:17" ht="15.75" thickBot="1" x14ac:dyDescent="0.3">
      <c r="P38" s="169">
        <v>1700</v>
      </c>
      <c r="Q38" s="2">
        <v>-29.8534839325485</v>
      </c>
    </row>
  </sheetData>
  <mergeCells count="3">
    <mergeCell ref="T23:U23"/>
    <mergeCell ref="T19:U19"/>
    <mergeCell ref="S4:T4"/>
  </mergeCells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770C61-7CCB-4F6D-AD32-B78955AB39F1}">
  <dimension ref="A1"/>
  <sheetViews>
    <sheetView topLeftCell="A61" workbookViewId="0">
      <selection activeCell="I21" sqref="I21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46125B-904B-4EC3-B0B1-7E4A735B149D}">
  <dimension ref="C3:BB52"/>
  <sheetViews>
    <sheetView topLeftCell="A22" workbookViewId="0">
      <selection activeCell="S32" sqref="S32"/>
    </sheetView>
  </sheetViews>
  <sheetFormatPr defaultRowHeight="15" x14ac:dyDescent="0.25"/>
  <cols>
    <col min="4" max="6" width="11.140625" customWidth="1"/>
    <col min="7" max="13" width="11.42578125" customWidth="1"/>
    <col min="14" max="14" width="17.28515625" customWidth="1"/>
    <col min="15" max="15" width="17.42578125" customWidth="1"/>
    <col min="16" max="16" width="11.42578125" customWidth="1"/>
    <col min="17" max="18" width="9.140625" customWidth="1"/>
    <col min="19" max="19" width="12.140625" customWidth="1"/>
    <col min="20" max="22" width="9.7109375" customWidth="1"/>
    <col min="25" max="25" width="18.85546875" customWidth="1"/>
    <col min="26" max="26" width="15.7109375" customWidth="1"/>
    <col min="27" max="27" width="12.42578125" customWidth="1"/>
    <col min="30" max="30" width="14.7109375" customWidth="1"/>
    <col min="35" max="35" width="16.5703125" customWidth="1"/>
    <col min="36" max="36" width="13.85546875" customWidth="1"/>
    <col min="37" max="37" width="15.85546875" customWidth="1"/>
  </cols>
  <sheetData>
    <row r="3" spans="4:36" ht="15.75" thickBot="1" x14ac:dyDescent="0.3">
      <c r="D3" s="184" t="s">
        <v>377</v>
      </c>
      <c r="E3" s="184" t="s">
        <v>378</v>
      </c>
      <c r="F3" s="184" t="s">
        <v>379</v>
      </c>
      <c r="G3" s="186" t="s">
        <v>380</v>
      </c>
      <c r="H3" s="185"/>
      <c r="I3" s="271" t="s">
        <v>406</v>
      </c>
      <c r="J3" s="271"/>
      <c r="K3" s="271"/>
      <c r="L3" s="271"/>
      <c r="M3" s="185"/>
    </row>
    <row r="4" spans="4:36" x14ac:dyDescent="0.25">
      <c r="D4" s="183">
        <v>1</v>
      </c>
      <c r="E4" s="183">
        <v>350</v>
      </c>
      <c r="F4" s="183">
        <v>5.5</v>
      </c>
      <c r="G4" s="183">
        <v>3.3</v>
      </c>
      <c r="H4" s="188"/>
      <c r="I4" s="6"/>
      <c r="J4" s="6" t="s">
        <v>378</v>
      </c>
      <c r="K4" s="6" t="s">
        <v>379</v>
      </c>
      <c r="L4" s="6" t="s">
        <v>380</v>
      </c>
    </row>
    <row r="5" spans="4:36" x14ac:dyDescent="0.25">
      <c r="D5" s="183">
        <v>2</v>
      </c>
      <c r="E5" s="183">
        <v>460</v>
      </c>
      <c r="F5" s="183">
        <v>7.5</v>
      </c>
      <c r="G5" s="183">
        <v>3.3</v>
      </c>
      <c r="H5" s="188"/>
      <c r="I5" s="1" t="s">
        <v>378</v>
      </c>
      <c r="J5" s="1">
        <v>1</v>
      </c>
      <c r="K5" s="1"/>
      <c r="L5" s="1"/>
    </row>
    <row r="6" spans="4:36" x14ac:dyDescent="0.25">
      <c r="D6" s="183">
        <v>3</v>
      </c>
      <c r="E6" s="183">
        <v>350</v>
      </c>
      <c r="F6" s="183">
        <v>8</v>
      </c>
      <c r="G6" s="183">
        <v>3</v>
      </c>
      <c r="H6" s="188"/>
      <c r="I6" s="1" t="s">
        <v>379</v>
      </c>
      <c r="J6" s="1">
        <v>-0.44327318273872068</v>
      </c>
      <c r="K6" s="1">
        <v>1</v>
      </c>
      <c r="L6" s="1"/>
    </row>
    <row r="7" spans="4:36" ht="15.75" thickBot="1" x14ac:dyDescent="0.3">
      <c r="D7" s="183">
        <v>4</v>
      </c>
      <c r="E7" s="183">
        <v>430</v>
      </c>
      <c r="F7" s="183">
        <v>8</v>
      </c>
      <c r="G7" s="183">
        <v>4.5</v>
      </c>
      <c r="H7" s="188"/>
      <c r="I7" s="2" t="s">
        <v>380</v>
      </c>
      <c r="J7" s="2">
        <v>0.55631985716811705</v>
      </c>
      <c r="K7" s="2">
        <v>3.0437580722268359E-2</v>
      </c>
      <c r="L7" s="2">
        <v>1</v>
      </c>
    </row>
    <row r="8" spans="4:36" x14ac:dyDescent="0.25">
      <c r="D8" s="183">
        <v>5</v>
      </c>
      <c r="E8" s="183">
        <v>350</v>
      </c>
      <c r="F8" s="183">
        <v>6.8</v>
      </c>
      <c r="G8" s="183">
        <v>3</v>
      </c>
      <c r="H8" s="188"/>
      <c r="I8" s="188"/>
      <c r="J8" s="188"/>
      <c r="K8" s="188"/>
      <c r="L8" s="188"/>
    </row>
    <row r="9" spans="4:36" x14ac:dyDescent="0.25">
      <c r="D9" s="183">
        <v>6</v>
      </c>
      <c r="E9" s="183">
        <v>380</v>
      </c>
      <c r="F9" s="183">
        <v>7.5</v>
      </c>
      <c r="G9" s="183">
        <v>4</v>
      </c>
      <c r="H9" s="188"/>
      <c r="I9" s="191"/>
      <c r="J9" s="191"/>
      <c r="K9" s="191"/>
      <c r="L9" s="191"/>
    </row>
    <row r="10" spans="4:36" x14ac:dyDescent="0.25">
      <c r="D10" s="183">
        <v>7</v>
      </c>
      <c r="E10" s="183">
        <v>430</v>
      </c>
      <c r="F10" s="183">
        <v>4.5</v>
      </c>
      <c r="G10" s="183">
        <v>3</v>
      </c>
      <c r="H10" s="188"/>
      <c r="I10" s="191"/>
      <c r="J10" s="191"/>
      <c r="K10" s="191"/>
      <c r="L10" s="191"/>
    </row>
    <row r="11" spans="4:36" x14ac:dyDescent="0.25">
      <c r="D11" s="183">
        <v>8</v>
      </c>
      <c r="E11" s="183">
        <v>470</v>
      </c>
      <c r="F11" s="183">
        <v>6.4</v>
      </c>
      <c r="G11" s="183">
        <v>3.7</v>
      </c>
      <c r="H11" s="188"/>
      <c r="I11" s="191"/>
      <c r="J11" s="191"/>
      <c r="K11" s="191"/>
      <c r="L11" s="191"/>
    </row>
    <row r="12" spans="4:36" x14ac:dyDescent="0.25">
      <c r="D12" s="183">
        <v>9</v>
      </c>
      <c r="E12" s="183">
        <v>450</v>
      </c>
      <c r="F12" s="183">
        <v>7</v>
      </c>
      <c r="G12" s="183">
        <v>3.5</v>
      </c>
      <c r="H12" s="188"/>
      <c r="I12" s="191"/>
      <c r="J12" s="191"/>
      <c r="K12" s="191"/>
      <c r="L12" s="191"/>
    </row>
    <row r="13" spans="4:36" x14ac:dyDescent="0.25">
      <c r="D13" s="183">
        <v>10</v>
      </c>
      <c r="E13" s="183">
        <v>490</v>
      </c>
      <c r="F13" s="183">
        <v>5</v>
      </c>
      <c r="G13" s="183">
        <v>4</v>
      </c>
      <c r="H13" s="188"/>
      <c r="I13" s="191"/>
      <c r="J13" s="191"/>
      <c r="K13" s="191"/>
      <c r="L13" s="191"/>
      <c r="N13" t="s">
        <v>335</v>
      </c>
      <c r="Y13" t="s">
        <v>335</v>
      </c>
      <c r="AI13" t="s">
        <v>335</v>
      </c>
    </row>
    <row r="14" spans="4:36" ht="15.75" thickBot="1" x14ac:dyDescent="0.3">
      <c r="D14" s="183">
        <v>11</v>
      </c>
      <c r="E14" s="183">
        <v>340</v>
      </c>
      <c r="F14" s="183">
        <v>7.2</v>
      </c>
      <c r="G14" s="183">
        <v>3.5</v>
      </c>
      <c r="H14" s="188"/>
      <c r="I14" s="191"/>
      <c r="J14" s="191"/>
      <c r="K14" s="191"/>
      <c r="L14" s="191"/>
    </row>
    <row r="15" spans="4:36" x14ac:dyDescent="0.25">
      <c r="D15" s="183">
        <v>12</v>
      </c>
      <c r="E15" s="183">
        <v>300</v>
      </c>
      <c r="F15" s="183">
        <v>7.9</v>
      </c>
      <c r="G15" s="183">
        <v>3.2</v>
      </c>
      <c r="H15" s="188"/>
      <c r="I15" s="191"/>
      <c r="J15" s="191"/>
      <c r="K15" s="191"/>
      <c r="L15" s="191"/>
      <c r="N15" s="3" t="s">
        <v>336</v>
      </c>
      <c r="O15" s="3"/>
      <c r="Y15" s="3" t="s">
        <v>336</v>
      </c>
      <c r="Z15" s="3"/>
      <c r="AI15" s="3" t="s">
        <v>336</v>
      </c>
      <c r="AJ15" s="3"/>
    </row>
    <row r="16" spans="4:36" x14ac:dyDescent="0.25">
      <c r="D16" s="183">
        <v>13</v>
      </c>
      <c r="E16" s="183">
        <v>440</v>
      </c>
      <c r="F16" s="183">
        <v>5.9</v>
      </c>
      <c r="G16" s="183">
        <v>4</v>
      </c>
      <c r="H16" s="188"/>
      <c r="I16" s="188"/>
      <c r="J16" s="188"/>
      <c r="K16" s="188"/>
      <c r="L16" s="188"/>
      <c r="N16" s="1" t="s">
        <v>337</v>
      </c>
      <c r="O16" s="1">
        <v>0.722134292240182</v>
      </c>
      <c r="Y16" s="1" t="s">
        <v>337</v>
      </c>
      <c r="Z16" s="1">
        <v>0.55631985716811705</v>
      </c>
      <c r="AI16" s="1" t="s">
        <v>337</v>
      </c>
      <c r="AJ16" s="1">
        <v>0.44327318273872063</v>
      </c>
    </row>
    <row r="17" spans="3:54" x14ac:dyDescent="0.25">
      <c r="D17" s="183">
        <v>14</v>
      </c>
      <c r="E17" s="183">
        <v>450</v>
      </c>
      <c r="F17" s="183">
        <v>5</v>
      </c>
      <c r="G17" s="183">
        <v>3.5</v>
      </c>
      <c r="H17" s="188"/>
      <c r="I17" s="188"/>
      <c r="J17" s="188"/>
      <c r="K17" s="188"/>
      <c r="L17" s="188"/>
      <c r="N17" s="1" t="s">
        <v>338</v>
      </c>
      <c r="O17" s="1">
        <v>0.52147793602922865</v>
      </c>
      <c r="P17">
        <f>P24/P26</f>
        <v>0.52147793602922865</v>
      </c>
      <c r="Y17" s="1" t="s">
        <v>338</v>
      </c>
      <c r="Z17" s="1">
        <v>0.30949178347955414</v>
      </c>
      <c r="AI17" s="1" t="s">
        <v>338</v>
      </c>
      <c r="AJ17" s="1">
        <v>0.1964911145353152</v>
      </c>
    </row>
    <row r="18" spans="3:54" x14ac:dyDescent="0.25">
      <c r="D18" s="183">
        <v>15</v>
      </c>
      <c r="E18" s="183">
        <v>300</v>
      </c>
      <c r="F18" s="183">
        <v>7</v>
      </c>
      <c r="G18" s="183">
        <v>2.7</v>
      </c>
      <c r="H18" s="188"/>
      <c r="I18" s="188"/>
      <c r="J18" s="188"/>
      <c r="K18" s="188"/>
      <c r="L18" s="188"/>
      <c r="N18" s="1" t="s">
        <v>339</v>
      </c>
      <c r="O18" s="1">
        <v>0.44172425870076676</v>
      </c>
      <c r="P18">
        <f>1-(P25/O25)/(P26/O26)</f>
        <v>0.44172425870076681</v>
      </c>
      <c r="Q18">
        <f>1-((1-O17)*((O20-1)/(O20-2-1)))</f>
        <v>0.4417242587007667</v>
      </c>
      <c r="Y18" s="1" t="s">
        <v>339</v>
      </c>
      <c r="Z18" s="1">
        <v>0.25637576682413521</v>
      </c>
      <c r="AI18" s="1" t="s">
        <v>339</v>
      </c>
      <c r="AJ18" s="1">
        <v>0.13468273873033945</v>
      </c>
    </row>
    <row r="19" spans="3:54" x14ac:dyDescent="0.25">
      <c r="C19" s="144" t="s">
        <v>360</v>
      </c>
      <c r="D19" s="189">
        <v>16</v>
      </c>
      <c r="E19" s="189">
        <f>O29+O30*F19+O31*G19</f>
        <v>428.62155214628922</v>
      </c>
      <c r="F19" s="189">
        <v>5.5</v>
      </c>
      <c r="G19" s="189">
        <v>3.5</v>
      </c>
      <c r="H19" s="187"/>
      <c r="I19" s="187"/>
      <c r="J19" s="187"/>
      <c r="K19" s="187"/>
      <c r="L19" s="187"/>
      <c r="N19" s="1" t="s">
        <v>6</v>
      </c>
      <c r="O19" s="1">
        <v>47.463412634764822</v>
      </c>
      <c r="Y19" s="1" t="s">
        <v>6</v>
      </c>
      <c r="Z19" s="1">
        <v>54.778653089077189</v>
      </c>
      <c r="AI19" s="1" t="s">
        <v>6</v>
      </c>
      <c r="AJ19" s="1">
        <v>59.091126043953757</v>
      </c>
    </row>
    <row r="20" spans="3:54" ht="15.75" thickBot="1" x14ac:dyDescent="0.3">
      <c r="N20" s="2" t="s">
        <v>180</v>
      </c>
      <c r="O20" s="2">
        <v>15</v>
      </c>
      <c r="Y20" s="2" t="s">
        <v>180</v>
      </c>
      <c r="Z20" s="2">
        <v>15</v>
      </c>
      <c r="AI20" s="2" t="s">
        <v>180</v>
      </c>
      <c r="AJ20" s="2">
        <v>15</v>
      </c>
    </row>
    <row r="21" spans="3:54" x14ac:dyDescent="0.25">
      <c r="Q21">
        <f>P24/O24</f>
        <v>14730.013433038945</v>
      </c>
      <c r="R21">
        <f>(P24/O24)/(P25/O25)</f>
        <v>6.5386067890204682</v>
      </c>
    </row>
    <row r="22" spans="3:54" ht="15.75" thickBot="1" x14ac:dyDescent="0.3">
      <c r="N22" t="s">
        <v>291</v>
      </c>
      <c r="Q22">
        <f>P25/O25</f>
        <v>2252.7755389379531</v>
      </c>
      <c r="R22">
        <f>Q24/Q25</f>
        <v>6.5386067890204682</v>
      </c>
      <c r="S22" s="187" t="s">
        <v>128</v>
      </c>
      <c r="T22" s="204">
        <v>3.8853</v>
      </c>
      <c r="Y22" t="s">
        <v>291</v>
      </c>
      <c r="AI22" t="s">
        <v>291</v>
      </c>
    </row>
    <row r="23" spans="3:54" x14ac:dyDescent="0.25">
      <c r="N23" s="6"/>
      <c r="O23" s="6" t="s">
        <v>136</v>
      </c>
      <c r="P23" s="6" t="s">
        <v>293</v>
      </c>
      <c r="Q23" s="6" t="s">
        <v>294</v>
      </c>
      <c r="R23" s="6" t="s">
        <v>295</v>
      </c>
      <c r="S23" s="6" t="s">
        <v>343</v>
      </c>
      <c r="U23" s="113" t="s">
        <v>136</v>
      </c>
      <c r="V23">
        <v>2</v>
      </c>
      <c r="W23" s="113" t="s">
        <v>397</v>
      </c>
      <c r="Y23" s="6"/>
      <c r="Z23" s="6" t="s">
        <v>136</v>
      </c>
      <c r="AA23" s="6" t="s">
        <v>293</v>
      </c>
      <c r="AB23" s="6" t="s">
        <v>294</v>
      </c>
      <c r="AC23" s="6" t="s">
        <v>295</v>
      </c>
      <c r="AD23" s="6" t="s">
        <v>343</v>
      </c>
      <c r="AI23" s="6"/>
      <c r="AJ23" s="6" t="s">
        <v>136</v>
      </c>
      <c r="AK23" s="6" t="s">
        <v>293</v>
      </c>
      <c r="AL23" s="6" t="s">
        <v>294</v>
      </c>
      <c r="AM23" s="6" t="s">
        <v>295</v>
      </c>
      <c r="AN23" s="6" t="s">
        <v>343</v>
      </c>
    </row>
    <row r="24" spans="3:54" x14ac:dyDescent="0.25">
      <c r="E24" s="274" t="s">
        <v>384</v>
      </c>
      <c r="F24" s="274"/>
      <c r="G24" s="274"/>
      <c r="H24" s="274"/>
      <c r="I24" s="274"/>
      <c r="J24" s="274"/>
      <c r="K24" s="274"/>
      <c r="L24" s="187" t="s">
        <v>391</v>
      </c>
      <c r="M24" s="187">
        <v>2</v>
      </c>
      <c r="N24" s="1" t="s">
        <v>340</v>
      </c>
      <c r="O24" s="1">
        <v>2</v>
      </c>
      <c r="P24" s="1">
        <v>29460.026866077889</v>
      </c>
      <c r="Q24" s="1">
        <v>14730.013433038945</v>
      </c>
      <c r="R24" s="1">
        <v>6.5386067890204682</v>
      </c>
      <c r="S24" s="1">
        <v>1.2006372233186397E-2</v>
      </c>
      <c r="T24" s="207" t="s">
        <v>399</v>
      </c>
      <c r="U24" s="113" t="s">
        <v>136</v>
      </c>
      <c r="V24" s="1">
        <v>12</v>
      </c>
      <c r="W24" s="187" t="s">
        <v>392</v>
      </c>
      <c r="Y24" s="1" t="s">
        <v>340</v>
      </c>
      <c r="Z24" s="1">
        <v>1</v>
      </c>
      <c r="AA24" s="1">
        <v>17484.222488038278</v>
      </c>
      <c r="AB24" s="1">
        <v>17484.222488038278</v>
      </c>
      <c r="AC24" s="1">
        <v>5.8267129759998619</v>
      </c>
      <c r="AD24" s="1">
        <v>3.1262951418180127E-2</v>
      </c>
      <c r="AI24" s="1" t="s">
        <v>340</v>
      </c>
      <c r="AJ24" s="1">
        <v>1</v>
      </c>
      <c r="AK24" s="1">
        <v>11100.438030481739</v>
      </c>
      <c r="AL24" s="1">
        <v>11100.438030481739</v>
      </c>
      <c r="AM24" s="1">
        <v>3.1790370152308238</v>
      </c>
      <c r="AN24" s="1">
        <v>9.7941126333079845E-2</v>
      </c>
    </row>
    <row r="25" spans="3:54" x14ac:dyDescent="0.25">
      <c r="E25" s="274"/>
      <c r="F25" s="274"/>
      <c r="G25" s="274"/>
      <c r="H25" s="274"/>
      <c r="I25" s="274"/>
      <c r="J25" s="274"/>
      <c r="K25" s="274"/>
      <c r="L25" s="187" t="s">
        <v>392</v>
      </c>
      <c r="M25" s="187">
        <f>O20-M24-1</f>
        <v>12</v>
      </c>
      <c r="N25" s="1" t="s">
        <v>341</v>
      </c>
      <c r="O25" s="1">
        <v>12</v>
      </c>
      <c r="P25" s="1">
        <v>27033.306467255439</v>
      </c>
      <c r="Q25" s="1">
        <v>2252.7755389379531</v>
      </c>
      <c r="R25" s="1"/>
      <c r="S25" s="1"/>
      <c r="U25" s="187" t="s">
        <v>373</v>
      </c>
      <c r="V25">
        <v>0.05</v>
      </c>
      <c r="W25" s="204">
        <v>3.8853</v>
      </c>
      <c r="Y25" s="1" t="s">
        <v>341</v>
      </c>
      <c r="Z25" s="1">
        <v>13</v>
      </c>
      <c r="AA25" s="1">
        <v>39009.11084529505</v>
      </c>
      <c r="AB25" s="1">
        <v>3000.7008342534655</v>
      </c>
      <c r="AC25" s="1"/>
      <c r="AD25" s="1"/>
      <c r="AI25" s="1" t="s">
        <v>341</v>
      </c>
      <c r="AJ25" s="1">
        <v>13</v>
      </c>
      <c r="AK25" s="1">
        <v>45392.89530285159</v>
      </c>
      <c r="AL25" s="1">
        <v>3491.7611771424299</v>
      </c>
      <c r="AM25" s="1"/>
      <c r="AN25" s="1"/>
    </row>
    <row r="26" spans="3:54" ht="15.75" thickBot="1" x14ac:dyDescent="0.3">
      <c r="E26" s="274"/>
      <c r="F26" s="274"/>
      <c r="G26" s="274"/>
      <c r="H26" s="274"/>
      <c r="I26" s="274"/>
      <c r="J26" s="274"/>
      <c r="K26" s="274"/>
      <c r="L26" s="187" t="s">
        <v>390</v>
      </c>
      <c r="M26" s="187">
        <f>O20-1</f>
        <v>14</v>
      </c>
      <c r="N26" s="2" t="s">
        <v>300</v>
      </c>
      <c r="O26" s="2">
        <v>14</v>
      </c>
      <c r="P26" s="2">
        <v>56493.333333333328</v>
      </c>
      <c r="Q26" s="2"/>
      <c r="R26" s="2"/>
      <c r="S26" s="2"/>
      <c r="Y26" s="2" t="s">
        <v>300</v>
      </c>
      <c r="Z26" s="2">
        <v>14</v>
      </c>
      <c r="AA26" s="2">
        <v>56493.333333333328</v>
      </c>
      <c r="AB26" s="2"/>
      <c r="AC26" s="2"/>
      <c r="AD26" s="2"/>
      <c r="AI26" s="2" t="s">
        <v>300</v>
      </c>
      <c r="AJ26" s="2">
        <v>14</v>
      </c>
      <c r="AK26" s="2">
        <v>56493.333333333328</v>
      </c>
      <c r="AL26" s="2"/>
      <c r="AM26" s="2"/>
      <c r="AN26" s="2"/>
    </row>
    <row r="27" spans="3:54" ht="15.75" thickBot="1" x14ac:dyDescent="0.3">
      <c r="S27" s="210" t="s">
        <v>403</v>
      </c>
    </row>
    <row r="28" spans="3:54" x14ac:dyDescent="0.25">
      <c r="N28" s="6"/>
      <c r="O28" s="6" t="s">
        <v>344</v>
      </c>
      <c r="P28" s="6" t="s">
        <v>6</v>
      </c>
      <c r="Q28" s="6" t="s">
        <v>183</v>
      </c>
      <c r="R28" s="6" t="s">
        <v>296</v>
      </c>
      <c r="S28" s="6" t="s">
        <v>345</v>
      </c>
      <c r="T28" s="6" t="s">
        <v>346</v>
      </c>
      <c r="U28" s="6" t="s">
        <v>347</v>
      </c>
      <c r="V28" s="6" t="s">
        <v>348</v>
      </c>
      <c r="Y28" s="6"/>
      <c r="Z28" s="6" t="s">
        <v>344</v>
      </c>
      <c r="AA28" s="6" t="s">
        <v>6</v>
      </c>
      <c r="AB28" s="6" t="s">
        <v>183</v>
      </c>
      <c r="AC28" s="6" t="s">
        <v>296</v>
      </c>
      <c r="AD28" s="6" t="s">
        <v>345</v>
      </c>
      <c r="AE28" s="6" t="s">
        <v>346</v>
      </c>
      <c r="AF28" s="6" t="s">
        <v>347</v>
      </c>
      <c r="AG28" s="6" t="s">
        <v>348</v>
      </c>
      <c r="AI28" s="6"/>
      <c r="AJ28" s="6" t="s">
        <v>344</v>
      </c>
      <c r="AK28" s="6" t="s">
        <v>6</v>
      </c>
      <c r="AL28" s="6" t="s">
        <v>183</v>
      </c>
      <c r="AM28" s="6" t="s">
        <v>296</v>
      </c>
      <c r="AN28" s="6" t="s">
        <v>345</v>
      </c>
      <c r="AO28" s="6" t="s">
        <v>346</v>
      </c>
      <c r="AP28" s="6" t="s">
        <v>347</v>
      </c>
      <c r="AQ28" s="6" t="s">
        <v>348</v>
      </c>
    </row>
    <row r="29" spans="3:54" x14ac:dyDescent="0.25">
      <c r="N29" s="1" t="s">
        <v>342</v>
      </c>
      <c r="O29" s="1">
        <v>306.52619328374402</v>
      </c>
      <c r="P29" s="1">
        <v>114.25389351049147</v>
      </c>
      <c r="Q29" s="1">
        <v>2.6828511822714964</v>
      </c>
      <c r="R29" s="1">
        <v>1.9931590985369695E-2</v>
      </c>
      <c r="S29" s="1">
        <v>57.588344263651578</v>
      </c>
      <c r="T29" s="1">
        <v>555.46404230383575</v>
      </c>
      <c r="U29" s="1">
        <v>57.588344263651578</v>
      </c>
      <c r="V29" s="1">
        <v>555.46404230383575</v>
      </c>
      <c r="Y29" s="1" t="s">
        <v>342</v>
      </c>
      <c r="Z29" s="1">
        <v>147.69936204146725</v>
      </c>
      <c r="AA29" s="1">
        <v>105.20065644645085</v>
      </c>
      <c r="AB29" s="1">
        <v>1.40397757039329</v>
      </c>
      <c r="AC29" s="1">
        <v>0.18376216584166918</v>
      </c>
      <c r="AD29" s="1">
        <v>-79.572838784755589</v>
      </c>
      <c r="AE29" s="1">
        <v>374.97156286769007</v>
      </c>
      <c r="AF29" s="1">
        <v>-79.572838784755589</v>
      </c>
      <c r="AG29" s="1">
        <v>374.97156286769007</v>
      </c>
      <c r="AI29" s="1" t="s">
        <v>342</v>
      </c>
      <c r="AJ29" s="1">
        <v>558.27724970512736</v>
      </c>
      <c r="AK29" s="1">
        <v>90.441048188206693</v>
      </c>
      <c r="AL29" s="1">
        <v>6.1728303783405893</v>
      </c>
      <c r="AM29" s="1">
        <v>3.3621591293004416E-5</v>
      </c>
      <c r="AN29" s="1">
        <v>362.89124394168459</v>
      </c>
      <c r="AO29" s="1">
        <v>753.66325546857013</v>
      </c>
      <c r="AP29" s="1">
        <v>362.89124394168459</v>
      </c>
      <c r="AQ29" s="1">
        <v>753.66325546857013</v>
      </c>
    </row>
    <row r="30" spans="3:54" ht="15.75" thickBot="1" x14ac:dyDescent="0.3">
      <c r="N30" s="1" t="s">
        <v>379</v>
      </c>
      <c r="O30" s="1">
        <v>-24.975089517826945</v>
      </c>
      <c r="P30" s="1">
        <v>10.832125119411648</v>
      </c>
      <c r="Q30" s="1">
        <v>-2.3056500218106306</v>
      </c>
      <c r="R30" s="1">
        <v>3.9788461178665177E-2</v>
      </c>
      <c r="S30" s="1">
        <v>-48.576262700561699</v>
      </c>
      <c r="T30" s="1">
        <v>-1.3739163350921864</v>
      </c>
      <c r="U30" s="1">
        <v>-48.576262700561699</v>
      </c>
      <c r="V30" s="1">
        <v>-1.3739163350921864</v>
      </c>
      <c r="Y30" s="2" t="s">
        <v>380</v>
      </c>
      <c r="Z30" s="2">
        <v>72.308612440191396</v>
      </c>
      <c r="AA30" s="2">
        <v>29.95561326736815</v>
      </c>
      <c r="AB30" s="2">
        <v>2.4138585244375572</v>
      </c>
      <c r="AC30" s="2">
        <v>3.126295141818014E-2</v>
      </c>
      <c r="AD30" s="2">
        <v>7.5934444522482636</v>
      </c>
      <c r="AE30" s="2">
        <v>137.02378042813453</v>
      </c>
      <c r="AF30" s="2">
        <v>7.5934444522482636</v>
      </c>
      <c r="AG30" s="2">
        <v>137.02378042813453</v>
      </c>
      <c r="AI30" s="2" t="s">
        <v>379</v>
      </c>
      <c r="AJ30" s="2">
        <v>-24.033858322347889</v>
      </c>
      <c r="AK30" s="2">
        <v>13.479559633617262</v>
      </c>
      <c r="AL30" s="2">
        <v>-1.7829854220466372</v>
      </c>
      <c r="AM30" s="2">
        <v>9.7941126333079706E-2</v>
      </c>
      <c r="AN30" s="2">
        <v>-53.154676457735704</v>
      </c>
      <c r="AO30" s="2">
        <v>5.0869598130399289</v>
      </c>
      <c r="AP30" s="2">
        <v>-53.154676457735704</v>
      </c>
      <c r="AQ30" s="2">
        <v>5.0869598130399289</v>
      </c>
      <c r="BB30" t="s">
        <v>396</v>
      </c>
    </row>
    <row r="31" spans="3:54" ht="15.75" thickBot="1" x14ac:dyDescent="0.3">
      <c r="N31" s="2" t="s">
        <v>380</v>
      </c>
      <c r="O31" s="2">
        <v>74.130957488740961</v>
      </c>
      <c r="P31" s="2">
        <v>25.967317917939091</v>
      </c>
      <c r="Q31" s="2">
        <v>2.854779139031868</v>
      </c>
      <c r="R31" s="2">
        <v>1.449362679645921E-2</v>
      </c>
      <c r="S31" s="2">
        <v>17.553032057087563</v>
      </c>
      <c r="T31" s="2">
        <v>130.70888292039436</v>
      </c>
      <c r="U31" s="2">
        <v>17.553032057087563</v>
      </c>
      <c r="V31" s="2">
        <v>130.70888292039436</v>
      </c>
    </row>
    <row r="32" spans="3:54" x14ac:dyDescent="0.25">
      <c r="Q32" s="208">
        <f>(O30-0)/P30</f>
        <v>-2.3056500218106306</v>
      </c>
      <c r="R32">
        <f>_xlfn.T.DIST.2T(ABS(Q30),12)</f>
        <v>3.9788461178665177E-2</v>
      </c>
      <c r="S32" s="209">
        <f>O30-U37*P30</f>
        <v>-48.576262700561699</v>
      </c>
      <c r="T32">
        <f>O30+U37*P30</f>
        <v>-1.3739163350921864</v>
      </c>
    </row>
    <row r="33" spans="14:43" ht="15.75" thickBot="1" x14ac:dyDescent="0.3">
      <c r="Q33" s="148">
        <f>(O31-0)/P31</f>
        <v>2.854779139031868</v>
      </c>
      <c r="R33">
        <f>_xlfn.T.DIST.2T(Q31,12)</f>
        <v>1.449362679645921E-2</v>
      </c>
      <c r="S33" s="160">
        <f>O31-U37*P31</f>
        <v>17.553032057087563</v>
      </c>
      <c r="T33">
        <f>O31+P31*U37</f>
        <v>130.70888292039436</v>
      </c>
    </row>
    <row r="34" spans="14:43" ht="15.75" x14ac:dyDescent="0.25">
      <c r="O34" s="6" t="s">
        <v>367</v>
      </c>
      <c r="P34">
        <v>-2.1789999999999998</v>
      </c>
      <c r="Q34" s="148">
        <v>2.1789999999999998</v>
      </c>
      <c r="R34" t="s">
        <v>400</v>
      </c>
      <c r="S34" s="147"/>
      <c r="Z34" s="273" t="s">
        <v>404</v>
      </c>
      <c r="AA34" s="211"/>
      <c r="AB34" s="211"/>
      <c r="AD34" s="113" t="s">
        <v>136</v>
      </c>
      <c r="AE34" s="190">
        <v>1</v>
      </c>
      <c r="AF34" s="113" t="s">
        <v>397</v>
      </c>
      <c r="AK34" s="273" t="s">
        <v>404</v>
      </c>
      <c r="AL34" s="211"/>
      <c r="AM34" s="211"/>
      <c r="AO34" s="113" t="s">
        <v>136</v>
      </c>
      <c r="AP34" s="190">
        <v>1</v>
      </c>
      <c r="AQ34" s="113" t="s">
        <v>397</v>
      </c>
    </row>
    <row r="35" spans="14:43" ht="15.75" x14ac:dyDescent="0.25">
      <c r="N35" t="s">
        <v>349</v>
      </c>
      <c r="T35" s="187"/>
      <c r="U35" s="187"/>
      <c r="V35" s="219" t="s">
        <v>392</v>
      </c>
      <c r="W35" s="219"/>
      <c r="Z35" s="273"/>
      <c r="AA35" s="211" t="s">
        <v>405</v>
      </c>
      <c r="AB35" s="212">
        <f>(P24-AA24)/Q25</f>
        <v>5.3160220230753552</v>
      </c>
      <c r="AD35" s="190" t="s">
        <v>136</v>
      </c>
      <c r="AE35" s="190">
        <v>12</v>
      </c>
      <c r="AF35" s="190" t="s">
        <v>392</v>
      </c>
      <c r="AK35" s="273"/>
      <c r="AL35" s="211" t="s">
        <v>405</v>
      </c>
      <c r="AM35" s="212">
        <f>(P24-AK24)/Q25</f>
        <v>8.149763932651533</v>
      </c>
      <c r="AO35" s="190" t="s">
        <v>136</v>
      </c>
      <c r="AP35" s="190">
        <v>12</v>
      </c>
      <c r="AQ35" s="190" t="s">
        <v>392</v>
      </c>
    </row>
    <row r="36" spans="14:43" ht="16.5" thickBot="1" x14ac:dyDescent="0.3">
      <c r="T36" s="187" t="s">
        <v>106</v>
      </c>
      <c r="U36" s="187">
        <v>0.05</v>
      </c>
      <c r="V36" s="187" t="s">
        <v>136</v>
      </c>
      <c r="W36" s="187">
        <v>12</v>
      </c>
      <c r="Z36" s="273"/>
      <c r="AA36" s="211"/>
      <c r="AB36" s="211"/>
      <c r="AD36" s="190" t="s">
        <v>283</v>
      </c>
      <c r="AE36" s="190">
        <v>0.05</v>
      </c>
      <c r="AF36" s="213">
        <v>4.7472000000000003</v>
      </c>
      <c r="AK36" s="273"/>
      <c r="AL36" s="211"/>
      <c r="AM36" s="211"/>
      <c r="AO36" s="190" t="s">
        <v>283</v>
      </c>
      <c r="AP36" s="190">
        <v>0.05</v>
      </c>
      <c r="AQ36" s="213">
        <v>4.7472000000000003</v>
      </c>
    </row>
    <row r="37" spans="14:43" x14ac:dyDescent="0.25">
      <c r="N37" s="6" t="s">
        <v>350</v>
      </c>
      <c r="O37" s="6" t="s">
        <v>381</v>
      </c>
      <c r="P37" s="6" t="s">
        <v>352</v>
      </c>
      <c r="T37" s="187" t="s">
        <v>401</v>
      </c>
      <c r="U37" s="187">
        <f>_xlfn.T.INV.2T(U36,W36)</f>
        <v>2.1788128296672284</v>
      </c>
      <c r="V37" s="187"/>
      <c r="W37" s="187"/>
    </row>
    <row r="38" spans="14:43" x14ac:dyDescent="0.25">
      <c r="N38" s="1">
        <v>1</v>
      </c>
      <c r="O38" s="1">
        <v>413.79536064854062</v>
      </c>
      <c r="P38" s="1">
        <v>-63.795360648540623</v>
      </c>
      <c r="Z38" s="272" t="s">
        <v>407</v>
      </c>
      <c r="AA38" s="272"/>
      <c r="AB38" s="272"/>
      <c r="AK38" s="272" t="s">
        <v>407</v>
      </c>
      <c r="AL38" s="272"/>
      <c r="AM38" s="272"/>
    </row>
    <row r="39" spans="14:43" x14ac:dyDescent="0.25">
      <c r="N39" s="1">
        <v>2</v>
      </c>
      <c r="O39" s="1">
        <v>363.84518161288679</v>
      </c>
      <c r="P39" s="1">
        <v>96.15481838711321</v>
      </c>
      <c r="Z39" s="272"/>
      <c r="AA39" s="272"/>
      <c r="AB39" s="272"/>
      <c r="AK39" s="272"/>
      <c r="AL39" s="272"/>
      <c r="AM39" s="272"/>
    </row>
    <row r="40" spans="14:43" x14ac:dyDescent="0.25">
      <c r="N40" s="1">
        <v>3</v>
      </c>
      <c r="O40" s="1">
        <v>329.11834960735098</v>
      </c>
      <c r="P40" s="1">
        <v>20.881650392649021</v>
      </c>
    </row>
    <row r="41" spans="14:43" x14ac:dyDescent="0.25">
      <c r="N41" s="1">
        <v>4</v>
      </c>
      <c r="O41" s="1">
        <v>440.31478584046243</v>
      </c>
      <c r="P41" s="1">
        <v>-10.314785840462434</v>
      </c>
    </row>
    <row r="42" spans="14:43" x14ac:dyDescent="0.25">
      <c r="N42" s="1">
        <v>5</v>
      </c>
      <c r="O42" s="1">
        <v>359.08845702874333</v>
      </c>
      <c r="P42" s="1">
        <v>-9.0884570287433348</v>
      </c>
    </row>
    <row r="43" spans="14:43" x14ac:dyDescent="0.25">
      <c r="N43" s="1">
        <v>6</v>
      </c>
      <c r="O43" s="1">
        <v>415.73685185500545</v>
      </c>
      <c r="P43" s="1">
        <v>-35.736851855005455</v>
      </c>
    </row>
    <row r="44" spans="14:43" x14ac:dyDescent="0.25">
      <c r="N44" s="1">
        <v>7</v>
      </c>
      <c r="O44" s="1">
        <v>416.53116291974527</v>
      </c>
      <c r="P44" s="1">
        <v>13.46883708025473</v>
      </c>
    </row>
    <row r="45" spans="14:43" x14ac:dyDescent="0.25">
      <c r="N45" s="1">
        <v>8</v>
      </c>
      <c r="O45" s="1">
        <v>420.97016307799277</v>
      </c>
      <c r="P45" s="1">
        <v>49.029836922007235</v>
      </c>
    </row>
    <row r="46" spans="14:43" x14ac:dyDescent="0.25">
      <c r="N46" s="1">
        <v>9</v>
      </c>
      <c r="O46" s="1">
        <v>391.15891786954842</v>
      </c>
      <c r="P46" s="1">
        <v>58.841082130451582</v>
      </c>
    </row>
    <row r="47" spans="14:43" x14ac:dyDescent="0.25">
      <c r="N47" s="1">
        <v>10</v>
      </c>
      <c r="O47" s="1">
        <v>478.17457564957283</v>
      </c>
      <c r="P47" s="1">
        <v>11.82542435042717</v>
      </c>
    </row>
    <row r="48" spans="14:43" x14ac:dyDescent="0.25">
      <c r="N48" s="1">
        <v>11</v>
      </c>
      <c r="O48" s="1">
        <v>386.16389996598309</v>
      </c>
      <c r="P48" s="1">
        <v>-46.163899965983092</v>
      </c>
    </row>
    <row r="49" spans="14:16" x14ac:dyDescent="0.25">
      <c r="N49" s="1">
        <v>12</v>
      </c>
      <c r="O49" s="1">
        <v>346.4420500568819</v>
      </c>
      <c r="P49" s="1">
        <v>-46.442050056881897</v>
      </c>
    </row>
    <row r="50" spans="14:16" x14ac:dyDescent="0.25">
      <c r="N50" s="1">
        <v>13</v>
      </c>
      <c r="O50" s="1">
        <v>455.69699508352858</v>
      </c>
      <c r="P50" s="1">
        <v>-15.696995083528577</v>
      </c>
    </row>
    <row r="51" spans="14:16" x14ac:dyDescent="0.25">
      <c r="N51" s="1">
        <v>14</v>
      </c>
      <c r="O51" s="1">
        <v>441.10909690520236</v>
      </c>
      <c r="P51" s="1">
        <v>8.8909030947976362</v>
      </c>
    </row>
    <row r="52" spans="14:16" ht="15.75" thickBot="1" x14ac:dyDescent="0.3">
      <c r="N52" s="2">
        <v>15</v>
      </c>
      <c r="O52" s="2">
        <v>331.85415187855568</v>
      </c>
      <c r="P52" s="2">
        <v>-31.854151878555683</v>
      </c>
    </row>
  </sheetData>
  <mergeCells count="7">
    <mergeCell ref="I3:L3"/>
    <mergeCell ref="Z38:AB39"/>
    <mergeCell ref="AK34:AK36"/>
    <mergeCell ref="AK38:AM39"/>
    <mergeCell ref="E24:K26"/>
    <mergeCell ref="V35:W35"/>
    <mergeCell ref="Z34:Z36"/>
  </mergeCells>
  <pageMargins left="0.7" right="0.7" top="0.75" bottom="0.75" header="0.3" footer="0.3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2FAEB5-6B9B-4699-9C6F-FAE6CEED0234}">
  <dimension ref="AR39"/>
  <sheetViews>
    <sheetView topLeftCell="A88" workbookViewId="0">
      <selection activeCell="S68" sqref="S68"/>
    </sheetView>
  </sheetViews>
  <sheetFormatPr defaultRowHeight="15" x14ac:dyDescent="0.25"/>
  <sheetData>
    <row r="39" spans="44:44" x14ac:dyDescent="0.25">
      <c r="AR39" t="s">
        <v>396</v>
      </c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BFC44C-B833-4D4E-BBA3-F0D093F48257}">
  <dimension ref="C1:V27"/>
  <sheetViews>
    <sheetView topLeftCell="A7" workbookViewId="0">
      <selection activeCell="F5" sqref="F5"/>
    </sheetView>
  </sheetViews>
  <sheetFormatPr defaultRowHeight="15" x14ac:dyDescent="0.25"/>
  <cols>
    <col min="14" max="14" width="10" customWidth="1"/>
    <col min="15" max="15" width="10.85546875" customWidth="1"/>
  </cols>
  <sheetData>
    <row r="1" spans="3:15" x14ac:dyDescent="0.25">
      <c r="I1" s="187" t="s">
        <v>28</v>
      </c>
      <c r="J1" s="187" t="s">
        <v>27</v>
      </c>
    </row>
    <row r="2" spans="3:15" x14ac:dyDescent="0.25">
      <c r="D2" s="187" t="s">
        <v>294</v>
      </c>
      <c r="E2" t="s">
        <v>382</v>
      </c>
      <c r="F2" t="s">
        <v>383</v>
      </c>
      <c r="I2" s="187" t="s">
        <v>294</v>
      </c>
      <c r="J2" t="s">
        <v>382</v>
      </c>
    </row>
    <row r="3" spans="3:15" x14ac:dyDescent="0.25">
      <c r="C3">
        <v>2001</v>
      </c>
      <c r="D3" s="189">
        <v>33984</v>
      </c>
      <c r="H3" s="196">
        <v>2002</v>
      </c>
      <c r="I3" s="202">
        <v>33382</v>
      </c>
      <c r="J3" s="202">
        <v>33984</v>
      </c>
    </row>
    <row r="4" spans="3:15" x14ac:dyDescent="0.25">
      <c r="C4" s="192">
        <v>2002</v>
      </c>
      <c r="D4" s="193">
        <v>33382</v>
      </c>
      <c r="E4" s="194">
        <f>D3</f>
        <v>33984</v>
      </c>
      <c r="H4" s="196">
        <v>2003</v>
      </c>
      <c r="I4" s="202">
        <v>34877</v>
      </c>
      <c r="J4" s="202">
        <v>33382</v>
      </c>
    </row>
    <row r="5" spans="3:15" x14ac:dyDescent="0.25">
      <c r="C5" s="195">
        <v>2003</v>
      </c>
      <c r="D5" s="196">
        <v>34877</v>
      </c>
      <c r="E5" s="197">
        <f t="shared" ref="E5:E22" si="0">D4</f>
        <v>33382</v>
      </c>
      <c r="H5" s="196">
        <v>2004</v>
      </c>
      <c r="I5" s="202">
        <v>26529</v>
      </c>
      <c r="J5" s="202">
        <v>34877</v>
      </c>
    </row>
    <row r="6" spans="3:15" x14ac:dyDescent="0.25">
      <c r="C6" s="195">
        <v>2004</v>
      </c>
      <c r="D6" s="196">
        <v>26529</v>
      </c>
      <c r="E6" s="198">
        <f t="shared" si="0"/>
        <v>34877</v>
      </c>
      <c r="H6" s="196">
        <v>2005</v>
      </c>
      <c r="I6" s="202">
        <v>34425</v>
      </c>
      <c r="J6" s="202">
        <v>26529</v>
      </c>
    </row>
    <row r="7" spans="3:15" x14ac:dyDescent="0.25">
      <c r="C7" s="195">
        <v>2005</v>
      </c>
      <c r="D7" s="196">
        <v>34425</v>
      </c>
      <c r="E7" s="198">
        <f t="shared" si="0"/>
        <v>26529</v>
      </c>
      <c r="H7" s="196">
        <v>2006</v>
      </c>
      <c r="I7" s="202">
        <v>37390</v>
      </c>
      <c r="J7" s="202">
        <v>34425</v>
      </c>
    </row>
    <row r="8" spans="3:15" x14ac:dyDescent="0.25">
      <c r="C8" s="195">
        <v>2006</v>
      </c>
      <c r="D8" s="196">
        <v>37390</v>
      </c>
      <c r="E8" s="198">
        <f t="shared" si="0"/>
        <v>34425</v>
      </c>
      <c r="H8" s="196">
        <v>2007</v>
      </c>
      <c r="I8" s="202">
        <v>28887</v>
      </c>
      <c r="J8" s="202">
        <v>37390</v>
      </c>
    </row>
    <row r="9" spans="3:15" x14ac:dyDescent="0.25">
      <c r="C9" s="195">
        <v>2007</v>
      </c>
      <c r="D9" s="196">
        <v>28887</v>
      </c>
      <c r="E9" s="198">
        <f t="shared" si="0"/>
        <v>37390</v>
      </c>
      <c r="H9" s="196">
        <v>2008</v>
      </c>
      <c r="I9" s="202">
        <v>27559</v>
      </c>
      <c r="J9" s="202">
        <v>28887</v>
      </c>
    </row>
    <row r="10" spans="3:15" x14ac:dyDescent="0.25">
      <c r="C10" s="195">
        <v>2008</v>
      </c>
      <c r="D10" s="196">
        <v>27559</v>
      </c>
      <c r="E10" s="198">
        <f t="shared" si="0"/>
        <v>28887</v>
      </c>
      <c r="H10" s="196">
        <v>2009</v>
      </c>
      <c r="I10" s="202">
        <v>25037</v>
      </c>
      <c r="J10" s="202">
        <v>27559</v>
      </c>
      <c r="N10" t="s">
        <v>335</v>
      </c>
    </row>
    <row r="11" spans="3:15" ht="15.75" thickBot="1" x14ac:dyDescent="0.3">
      <c r="C11" s="195">
        <v>2009</v>
      </c>
      <c r="D11" s="196">
        <v>25037</v>
      </c>
      <c r="E11" s="198">
        <f t="shared" si="0"/>
        <v>27559</v>
      </c>
      <c r="H11" s="196">
        <v>2010</v>
      </c>
      <c r="I11" s="202">
        <v>30753</v>
      </c>
      <c r="J11" s="202">
        <v>25037</v>
      </c>
    </row>
    <row r="12" spans="3:15" x14ac:dyDescent="0.25">
      <c r="C12" s="195">
        <v>2010</v>
      </c>
      <c r="D12" s="196">
        <v>30753</v>
      </c>
      <c r="E12" s="198">
        <f t="shared" si="0"/>
        <v>25037</v>
      </c>
      <c r="H12" s="196">
        <v>2011</v>
      </c>
      <c r="I12" s="202">
        <v>34320</v>
      </c>
      <c r="J12" s="202">
        <v>30753</v>
      </c>
      <c r="N12" s="3" t="s">
        <v>336</v>
      </c>
      <c r="O12" s="3"/>
    </row>
    <row r="13" spans="3:15" x14ac:dyDescent="0.25">
      <c r="C13" s="195">
        <v>2011</v>
      </c>
      <c r="D13" s="196">
        <v>34320</v>
      </c>
      <c r="E13" s="198">
        <f t="shared" si="0"/>
        <v>30753</v>
      </c>
      <c r="H13" s="196">
        <v>2012</v>
      </c>
      <c r="I13" s="202">
        <v>29049</v>
      </c>
      <c r="J13" s="202">
        <v>34320</v>
      </c>
      <c r="N13" s="1" t="s">
        <v>337</v>
      </c>
      <c r="O13" s="1">
        <v>4.7690846851841481E-2</v>
      </c>
    </row>
    <row r="14" spans="3:15" x14ac:dyDescent="0.25">
      <c r="C14" s="195">
        <v>2012</v>
      </c>
      <c r="D14" s="196">
        <v>29049</v>
      </c>
      <c r="E14" s="198">
        <f t="shared" si="0"/>
        <v>34320</v>
      </c>
      <c r="H14" s="196">
        <v>2013</v>
      </c>
      <c r="I14" s="202">
        <v>36976</v>
      </c>
      <c r="J14" s="202">
        <v>29049</v>
      </c>
      <c r="N14" s="1" t="s">
        <v>338</v>
      </c>
      <c r="O14" s="1">
        <v>2.2744168734457988E-3</v>
      </c>
    </row>
    <row r="15" spans="3:15" x14ac:dyDescent="0.25">
      <c r="C15" s="195">
        <v>2013</v>
      </c>
      <c r="D15" s="196">
        <v>36976</v>
      </c>
      <c r="E15" s="198">
        <f t="shared" si="0"/>
        <v>29049</v>
      </c>
      <c r="H15" s="196">
        <v>2014</v>
      </c>
      <c r="I15" s="202">
        <v>38177</v>
      </c>
      <c r="J15" s="202">
        <v>36976</v>
      </c>
      <c r="N15" s="1" t="s">
        <v>339</v>
      </c>
      <c r="O15" s="1">
        <v>-5.6415323310469154E-2</v>
      </c>
    </row>
    <row r="16" spans="3:15" x14ac:dyDescent="0.25">
      <c r="C16" s="195">
        <v>2014</v>
      </c>
      <c r="D16" s="196">
        <v>38177</v>
      </c>
      <c r="E16" s="198">
        <f t="shared" si="0"/>
        <v>36976</v>
      </c>
      <c r="H16" s="196">
        <v>2015</v>
      </c>
      <c r="I16" s="202">
        <v>28086</v>
      </c>
      <c r="J16" s="202">
        <v>38177</v>
      </c>
      <c r="N16" s="1" t="s">
        <v>6</v>
      </c>
      <c r="O16" s="1">
        <v>4241.8298294962933</v>
      </c>
    </row>
    <row r="17" spans="3:22" ht="15.75" thickBot="1" x14ac:dyDescent="0.3">
      <c r="C17" s="195">
        <v>2015</v>
      </c>
      <c r="D17" s="196">
        <v>28086</v>
      </c>
      <c r="E17" s="198">
        <f t="shared" si="0"/>
        <v>38177</v>
      </c>
      <c r="H17" s="196">
        <v>2016</v>
      </c>
      <c r="I17" s="202">
        <v>35012</v>
      </c>
      <c r="J17" s="202">
        <v>28086</v>
      </c>
      <c r="N17" s="2" t="s">
        <v>180</v>
      </c>
      <c r="O17" s="2">
        <v>19</v>
      </c>
    </row>
    <row r="18" spans="3:22" x14ac:dyDescent="0.25">
      <c r="C18" s="195">
        <v>2016</v>
      </c>
      <c r="D18" s="196">
        <v>35012</v>
      </c>
      <c r="E18" s="198">
        <f t="shared" si="0"/>
        <v>28086</v>
      </c>
      <c r="H18" s="196">
        <v>2017</v>
      </c>
      <c r="I18" s="202">
        <v>34186</v>
      </c>
      <c r="J18" s="202">
        <v>35012</v>
      </c>
    </row>
    <row r="19" spans="3:22" ht="15.75" thickBot="1" x14ac:dyDescent="0.3">
      <c r="C19" s="195">
        <v>2017</v>
      </c>
      <c r="D19" s="196">
        <v>34186</v>
      </c>
      <c r="E19" s="198">
        <f t="shared" si="0"/>
        <v>35012</v>
      </c>
      <c r="H19" s="196">
        <v>2018</v>
      </c>
      <c r="I19" s="202">
        <v>36938</v>
      </c>
      <c r="J19" s="202">
        <v>34186</v>
      </c>
      <c r="N19" t="s">
        <v>291</v>
      </c>
    </row>
    <row r="20" spans="3:22" x14ac:dyDescent="0.25">
      <c r="C20" s="195">
        <v>2018</v>
      </c>
      <c r="D20" s="196">
        <v>36938</v>
      </c>
      <c r="E20" s="198">
        <f t="shared" si="0"/>
        <v>34186</v>
      </c>
      <c r="H20" s="196">
        <v>2019</v>
      </c>
      <c r="I20" s="202">
        <v>35169</v>
      </c>
      <c r="J20" s="202">
        <v>36938</v>
      </c>
      <c r="N20" s="6"/>
      <c r="O20" s="6" t="s">
        <v>136</v>
      </c>
      <c r="P20" s="6" t="s">
        <v>293</v>
      </c>
      <c r="Q20" s="6" t="s">
        <v>294</v>
      </c>
      <c r="R20" s="6" t="s">
        <v>295</v>
      </c>
      <c r="S20" s="6" t="s">
        <v>343</v>
      </c>
    </row>
    <row r="21" spans="3:22" x14ac:dyDescent="0.25">
      <c r="C21" s="195">
        <v>2019</v>
      </c>
      <c r="D21" s="196">
        <v>35169</v>
      </c>
      <c r="E21" s="198">
        <f t="shared" si="0"/>
        <v>36938</v>
      </c>
      <c r="H21" s="196">
        <v>2020</v>
      </c>
      <c r="I21" s="202">
        <v>28251</v>
      </c>
      <c r="J21" s="202">
        <v>35169</v>
      </c>
      <c r="N21" s="1" t="s">
        <v>340</v>
      </c>
      <c r="O21" s="1">
        <v>1</v>
      </c>
      <c r="P21" s="1">
        <v>697291.49070155621</v>
      </c>
      <c r="Q21" s="1">
        <v>697291.49070155621</v>
      </c>
      <c r="R21" s="1">
        <v>3.8753227843887204E-2</v>
      </c>
      <c r="S21" s="1">
        <v>0.84627267899603853</v>
      </c>
    </row>
    <row r="22" spans="3:22" x14ac:dyDescent="0.25">
      <c r="C22" s="199">
        <v>2020</v>
      </c>
      <c r="D22" s="200">
        <v>28251</v>
      </c>
      <c r="E22" s="201">
        <f t="shared" si="0"/>
        <v>35169</v>
      </c>
      <c r="N22" s="1" t="s">
        <v>341</v>
      </c>
      <c r="O22" s="1">
        <v>17</v>
      </c>
      <c r="P22" s="1">
        <v>305883045.14087737</v>
      </c>
      <c r="Q22" s="1">
        <v>17993120.302404553</v>
      </c>
      <c r="R22" s="1"/>
      <c r="S22" s="1"/>
    </row>
    <row r="23" spans="3:22" ht="15.75" thickBot="1" x14ac:dyDescent="0.3">
      <c r="N23" s="2" t="s">
        <v>300</v>
      </c>
      <c r="O23" s="2">
        <v>18</v>
      </c>
      <c r="P23" s="2">
        <v>306580336.63157892</v>
      </c>
      <c r="Q23" s="2"/>
      <c r="R23" s="2"/>
      <c r="S23" s="2"/>
    </row>
    <row r="24" spans="3:22" ht="15.75" thickBot="1" x14ac:dyDescent="0.3"/>
    <row r="25" spans="3:22" x14ac:dyDescent="0.25">
      <c r="N25" s="6"/>
      <c r="O25" s="6" t="s">
        <v>344</v>
      </c>
      <c r="P25" s="6" t="s">
        <v>6</v>
      </c>
      <c r="Q25" s="6" t="s">
        <v>183</v>
      </c>
      <c r="R25" s="6" t="s">
        <v>296</v>
      </c>
      <c r="S25" s="6" t="s">
        <v>345</v>
      </c>
      <c r="T25" s="6" t="s">
        <v>346</v>
      </c>
      <c r="U25" s="6" t="s">
        <v>347</v>
      </c>
      <c r="V25" s="6" t="s">
        <v>348</v>
      </c>
    </row>
    <row r="26" spans="3:22" x14ac:dyDescent="0.25">
      <c r="N26" s="1" t="s">
        <v>342</v>
      </c>
      <c r="O26" s="1">
        <v>30767.977317834378</v>
      </c>
      <c r="P26" s="1">
        <v>8188.7549697667764</v>
      </c>
      <c r="Q26" s="1">
        <v>3.7573449726400447</v>
      </c>
      <c r="R26" s="1">
        <v>1.5696895547813452E-3</v>
      </c>
      <c r="S26" s="1">
        <v>13491.214519560443</v>
      </c>
      <c r="T26" s="1">
        <v>48044.740116108311</v>
      </c>
      <c r="U26" s="1">
        <v>13491.214519560443</v>
      </c>
      <c r="V26" s="1">
        <v>48044.740116108311</v>
      </c>
    </row>
    <row r="27" spans="3:22" ht="15.75" thickBot="1" x14ac:dyDescent="0.3">
      <c r="N27" s="2" t="s">
        <v>382</v>
      </c>
      <c r="O27" s="2">
        <v>4.8992536216921137E-2</v>
      </c>
      <c r="P27" s="2">
        <v>0.24887196766269493</v>
      </c>
      <c r="Q27" s="2">
        <v>0.1968583954112601</v>
      </c>
      <c r="R27" s="2">
        <v>0.84627267899602132</v>
      </c>
      <c r="S27" s="2">
        <v>-0.47608141804386217</v>
      </c>
      <c r="T27" s="2">
        <v>0.57406649047770442</v>
      </c>
      <c r="U27" s="2">
        <v>-0.47608141804386217</v>
      </c>
      <c r="V27" s="2">
        <v>0.57406649047770442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39D87C-1A41-43EB-8952-37D24975788A}">
  <dimension ref="F2:M39"/>
  <sheetViews>
    <sheetView topLeftCell="C7" workbookViewId="0">
      <selection activeCell="J5" sqref="J5"/>
    </sheetView>
  </sheetViews>
  <sheetFormatPr defaultRowHeight="15" x14ac:dyDescent="0.25"/>
  <cols>
    <col min="6" max="6" width="12.140625" customWidth="1"/>
    <col min="7" max="7" width="10.85546875" customWidth="1"/>
    <col min="10" max="10" width="16" customWidth="1"/>
    <col min="11" max="11" width="12.85546875" customWidth="1"/>
    <col min="12" max="12" width="21.42578125" customWidth="1"/>
  </cols>
  <sheetData>
    <row r="2" spans="6:12" x14ac:dyDescent="0.25">
      <c r="F2" s="4" t="s">
        <v>19</v>
      </c>
      <c r="G2" s="4" t="s">
        <v>20</v>
      </c>
      <c r="H2" t="s">
        <v>21</v>
      </c>
      <c r="I2">
        <f>_xlfn.COVARIANCE.S(F3:F23,G3:G23)</f>
        <v>-871.8238095238097</v>
      </c>
    </row>
    <row r="3" spans="6:12" x14ac:dyDescent="0.25">
      <c r="F3" s="4">
        <v>20</v>
      </c>
      <c r="G3" s="4">
        <v>690</v>
      </c>
      <c r="H3" t="s">
        <v>22</v>
      </c>
      <c r="I3">
        <f>_xlfn.STDEV.S(F3:F23)</f>
        <v>5.715059471423265</v>
      </c>
    </row>
    <row r="4" spans="6:12" x14ac:dyDescent="0.25">
      <c r="F4" s="4">
        <v>21</v>
      </c>
      <c r="G4" s="4">
        <v>660</v>
      </c>
      <c r="H4" t="s">
        <v>23</v>
      </c>
      <c r="I4">
        <f>_xlfn.STDEV.S(G3:G23)</f>
        <v>155.19164803251371</v>
      </c>
    </row>
    <row r="5" spans="6:12" x14ac:dyDescent="0.25">
      <c r="F5" s="4">
        <v>23</v>
      </c>
      <c r="G5" s="4">
        <v>638</v>
      </c>
      <c r="H5" t="s">
        <v>24</v>
      </c>
      <c r="I5">
        <f>I2/(I3*I4)</f>
        <v>-0.98296855783385362</v>
      </c>
      <c r="J5">
        <f>CORREL(F3:F23,G3:G23)</f>
        <v>-0.98296855783385362</v>
      </c>
    </row>
    <row r="6" spans="6:12" x14ac:dyDescent="0.25">
      <c r="F6" s="4">
        <v>23</v>
      </c>
      <c r="G6" s="4">
        <v>615</v>
      </c>
    </row>
    <row r="7" spans="6:12" x14ac:dyDescent="0.25">
      <c r="F7" s="4">
        <v>25</v>
      </c>
      <c r="G7" s="4">
        <v>587</v>
      </c>
    </row>
    <row r="8" spans="6:12" x14ac:dyDescent="0.25">
      <c r="F8" s="4">
        <v>26</v>
      </c>
      <c r="G8" s="4">
        <v>586</v>
      </c>
    </row>
    <row r="9" spans="6:12" x14ac:dyDescent="0.25">
      <c r="F9" s="4">
        <v>26</v>
      </c>
      <c r="G9" s="4">
        <v>560</v>
      </c>
      <c r="H9" t="str">
        <f>IF(G9&gt;560,SUM(G3:G23), "")</f>
        <v/>
      </c>
    </row>
    <row r="10" spans="6:12" x14ac:dyDescent="0.25">
      <c r="F10" s="4">
        <v>26</v>
      </c>
      <c r="G10" s="4">
        <v>558</v>
      </c>
    </row>
    <row r="11" spans="6:12" x14ac:dyDescent="0.25">
      <c r="F11" s="4">
        <v>27</v>
      </c>
      <c r="G11" s="4">
        <v>497</v>
      </c>
    </row>
    <row r="12" spans="6:12" x14ac:dyDescent="0.25">
      <c r="F12" s="4">
        <v>27</v>
      </c>
      <c r="G12" s="4">
        <v>466</v>
      </c>
      <c r="I12" s="4">
        <v>560</v>
      </c>
      <c r="J12" t="str">
        <f>IF(I12&gt;560,SUM(G3:G23), "")</f>
        <v/>
      </c>
    </row>
    <row r="13" spans="6:12" x14ac:dyDescent="0.25">
      <c r="F13" s="4">
        <v>28</v>
      </c>
      <c r="G13" s="4">
        <v>459</v>
      </c>
      <c r="J13" t="str">
        <f>_xlfn.IFS(I12&gt;560, "ok",I12=560, "yes", I12&lt;560, "")</f>
        <v>yes</v>
      </c>
    </row>
    <row r="14" spans="6:12" ht="15.75" thickBot="1" x14ac:dyDescent="0.3">
      <c r="F14" s="4">
        <v>29</v>
      </c>
      <c r="G14" s="4">
        <v>406</v>
      </c>
    </row>
    <row r="15" spans="6:12" x14ac:dyDescent="0.25">
      <c r="F15" s="4">
        <v>29</v>
      </c>
      <c r="G15" s="4">
        <v>392</v>
      </c>
      <c r="J15" s="6"/>
      <c r="K15" s="6">
        <v>20</v>
      </c>
      <c r="L15" s="6">
        <v>690</v>
      </c>
    </row>
    <row r="16" spans="6:12" x14ac:dyDescent="0.25">
      <c r="F16" s="4">
        <v>32</v>
      </c>
      <c r="G16" s="4">
        <v>372</v>
      </c>
      <c r="J16" s="1">
        <v>20</v>
      </c>
      <c r="K16" s="1">
        <v>1</v>
      </c>
      <c r="L16" s="1"/>
    </row>
    <row r="17" spans="6:13" ht="15.75" thickBot="1" x14ac:dyDescent="0.3">
      <c r="F17" s="4">
        <v>32</v>
      </c>
      <c r="G17" s="4">
        <v>371</v>
      </c>
      <c r="J17" s="2">
        <v>690</v>
      </c>
      <c r="K17" s="2">
        <v>-0.98045493349936297</v>
      </c>
      <c r="L17" s="2">
        <v>1</v>
      </c>
    </row>
    <row r="18" spans="6:13" x14ac:dyDescent="0.25">
      <c r="F18" s="4">
        <v>33</v>
      </c>
      <c r="G18" s="4">
        <v>332</v>
      </c>
    </row>
    <row r="19" spans="6:13" x14ac:dyDescent="0.25">
      <c r="F19" s="4">
        <v>34</v>
      </c>
      <c r="G19" s="4">
        <v>295</v>
      </c>
    </row>
    <row r="20" spans="6:13" x14ac:dyDescent="0.25">
      <c r="F20" s="4">
        <v>37</v>
      </c>
      <c r="G20" s="4">
        <v>271</v>
      </c>
    </row>
    <row r="21" spans="6:13" x14ac:dyDescent="0.25">
      <c r="F21" s="4">
        <v>38</v>
      </c>
      <c r="G21" s="4">
        <v>236</v>
      </c>
    </row>
    <row r="22" spans="6:13" x14ac:dyDescent="0.25">
      <c r="F22" s="4">
        <v>38</v>
      </c>
      <c r="G22" s="4">
        <v>207</v>
      </c>
      <c r="K22">
        <f>_xlfn.COVARIANCE.S(F3:F23,G3:G23)</f>
        <v>-871.8238095238097</v>
      </c>
    </row>
    <row r="23" spans="6:13" x14ac:dyDescent="0.25">
      <c r="F23" s="4">
        <v>39</v>
      </c>
      <c r="G23" s="4">
        <v>202</v>
      </c>
    </row>
    <row r="24" spans="6:13" x14ac:dyDescent="0.25">
      <c r="F24" s="4"/>
      <c r="G24" s="4"/>
    </row>
    <row r="25" spans="6:13" x14ac:dyDescent="0.25">
      <c r="F25" s="4"/>
      <c r="G25" s="4"/>
    </row>
    <row r="29" spans="6:13" ht="15.75" thickBot="1" x14ac:dyDescent="0.3"/>
    <row r="30" spans="6:13" x14ac:dyDescent="0.25">
      <c r="K30" s="6"/>
      <c r="L30" s="6">
        <v>20</v>
      </c>
      <c r="M30" s="6">
        <v>690</v>
      </c>
    </row>
    <row r="31" spans="6:13" x14ac:dyDescent="0.25">
      <c r="K31" s="1">
        <v>20</v>
      </c>
      <c r="L31" s="1">
        <f>VARP(correlation!$F$4:$F$23)</f>
        <v>28.227499999999999</v>
      </c>
      <c r="M31" s="1"/>
    </row>
    <row r="32" spans="6:13" ht="15.75" thickBot="1" x14ac:dyDescent="0.3">
      <c r="K32" s="2">
        <v>690</v>
      </c>
      <c r="L32" s="2">
        <v>-754.875</v>
      </c>
      <c r="M32" s="2">
        <f>VARP(correlation!$G$4:$G$23)</f>
        <v>21000.15</v>
      </c>
    </row>
    <row r="35" spans="12:12" x14ac:dyDescent="0.25">
      <c r="L35">
        <f>_xlfn.COVARIANCE.P(F3:F23,G3:G23)</f>
        <v>-830.30839002267589</v>
      </c>
    </row>
    <row r="36" spans="12:12" x14ac:dyDescent="0.25">
      <c r="L36">
        <f>_xlfn.COVARIANCE.S(F3:F23,G3:G23)</f>
        <v>-871.8238095238097</v>
      </c>
    </row>
    <row r="39" spans="12:12" x14ac:dyDescent="0.25">
      <c r="L39">
        <f>_xlfn.VAR.P(F3:F23)</f>
        <v>31.106575963718821</v>
      </c>
    </row>
  </sheetData>
  <sortState xmlns:xlrd2="http://schemas.microsoft.com/office/spreadsheetml/2017/richdata2" ref="G3:G23">
    <sortCondition descending="1" ref="G3"/>
  </sortState>
  <pageMargins left="0.7" right="0.7" top="0.75" bottom="0.75" header="0.3" footer="0.3"/>
  <pageSetup paperSize="9" orientation="portrait" r:id="rId1"/>
  <drawing r:id="rId2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86409A-AA44-4A6D-BA2A-4338506B52C1}">
  <dimension ref="E5:H17"/>
  <sheetViews>
    <sheetView tabSelected="1" topLeftCell="A4" workbookViewId="0">
      <selection activeCell="J10" sqref="J10"/>
    </sheetView>
  </sheetViews>
  <sheetFormatPr defaultRowHeight="15" x14ac:dyDescent="0.25"/>
  <sheetData>
    <row r="5" spans="5:8" x14ac:dyDescent="0.25">
      <c r="E5" t="s">
        <v>409</v>
      </c>
      <c r="F5">
        <v>100</v>
      </c>
    </row>
    <row r="6" spans="5:8" x14ac:dyDescent="0.25">
      <c r="E6" t="s">
        <v>2</v>
      </c>
      <c r="F6">
        <v>500</v>
      </c>
    </row>
    <row r="7" spans="5:8" x14ac:dyDescent="0.25">
      <c r="H7" s="216" t="s">
        <v>210</v>
      </c>
    </row>
    <row r="8" spans="5:8" x14ac:dyDescent="0.25">
      <c r="F8">
        <v>400</v>
      </c>
      <c r="G8">
        <f>(400-500)/100</f>
        <v>-1</v>
      </c>
      <c r="H8" s="216">
        <v>0.15</v>
      </c>
    </row>
    <row r="9" spans="5:8" x14ac:dyDescent="0.25">
      <c r="F9">
        <v>600</v>
      </c>
      <c r="G9">
        <f>(600-500)/100</f>
        <v>1</v>
      </c>
      <c r="H9" s="216">
        <v>0.84</v>
      </c>
    </row>
    <row r="10" spans="5:8" x14ac:dyDescent="0.25">
      <c r="G10">
        <f>0.84-0.15</f>
        <v>0.69</v>
      </c>
    </row>
    <row r="12" spans="5:8" x14ac:dyDescent="0.25">
      <c r="G12">
        <f>500 + 1.96*100</f>
        <v>696</v>
      </c>
    </row>
    <row r="13" spans="5:8" x14ac:dyDescent="0.25">
      <c r="G13">
        <f>500 - 1.96*100</f>
        <v>304</v>
      </c>
    </row>
    <row r="15" spans="5:8" x14ac:dyDescent="0.25">
      <c r="F15">
        <v>200</v>
      </c>
      <c r="G15">
        <f>(200-500)/100</f>
        <v>-3</v>
      </c>
    </row>
    <row r="16" spans="5:8" x14ac:dyDescent="0.25">
      <c r="F16">
        <v>80</v>
      </c>
      <c r="G16">
        <f>(800-500)/100</f>
        <v>3</v>
      </c>
    </row>
    <row r="17" spans="7:7" x14ac:dyDescent="0.25">
      <c r="G17">
        <f>0.99-0.001</f>
        <v>0.98899999999999999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DDDF56-F988-4DEC-BE2B-543D6FBA17BD}">
  <dimension ref="E4:K14"/>
  <sheetViews>
    <sheetView workbookViewId="0">
      <selection activeCell="J11" sqref="J11"/>
    </sheetView>
  </sheetViews>
  <sheetFormatPr defaultRowHeight="15" x14ac:dyDescent="0.25"/>
  <sheetData>
    <row r="4" spans="5:11" x14ac:dyDescent="0.25">
      <c r="E4" s="4" t="s">
        <v>27</v>
      </c>
      <c r="F4" s="4" t="s">
        <v>28</v>
      </c>
    </row>
    <row r="5" spans="5:11" ht="15.75" thickBot="1" x14ac:dyDescent="0.3">
      <c r="E5" s="4">
        <v>0.80214932465584299</v>
      </c>
      <c r="F5" s="4">
        <v>8.4607578752788348E-2</v>
      </c>
    </row>
    <row r="6" spans="5:11" x14ac:dyDescent="0.25">
      <c r="E6" s="4">
        <v>0.5954159464258445</v>
      </c>
      <c r="F6" s="4">
        <v>0.59135555215945679</v>
      </c>
      <c r="I6" s="6"/>
      <c r="J6" s="6" t="s">
        <v>27</v>
      </c>
      <c r="K6" s="6" t="s">
        <v>28</v>
      </c>
    </row>
    <row r="7" spans="5:11" ht="15.75" thickBot="1" x14ac:dyDescent="0.3">
      <c r="E7" s="4">
        <v>0.2658494103344311</v>
      </c>
      <c r="F7" s="4">
        <v>0.41734852184616411</v>
      </c>
      <c r="I7" s="1" t="s">
        <v>27</v>
      </c>
      <c r="J7" s="1">
        <f>VARP(covariance!$E$5:$E$14)</f>
        <v>8.2561159473462278E-2</v>
      </c>
      <c r="K7" s="2">
        <v>1.0277754241571546E-2</v>
      </c>
    </row>
    <row r="8" spans="5:11" ht="15.75" thickBot="1" x14ac:dyDescent="0.3">
      <c r="E8" s="4">
        <v>0.18546765213666028</v>
      </c>
      <c r="F8" s="4">
        <v>0.92505144199004796</v>
      </c>
      <c r="I8" s="2" t="s">
        <v>28</v>
      </c>
      <c r="J8" s="2">
        <v>1.0277754241571546E-2</v>
      </c>
      <c r="K8" s="2">
        <f>VARP(covariance!$F$5:$F$14)</f>
        <v>9.9405108044550688E-2</v>
      </c>
    </row>
    <row r="9" spans="5:11" x14ac:dyDescent="0.25">
      <c r="E9" s="4">
        <v>0.59984032850732727</v>
      </c>
      <c r="F9" s="4">
        <v>2.4710934304930321E-2</v>
      </c>
    </row>
    <row r="10" spans="5:11" x14ac:dyDescent="0.25">
      <c r="E10" s="4">
        <v>0.99266354356978159</v>
      </c>
      <c r="F10" s="4">
        <v>0.97300179179488278</v>
      </c>
    </row>
    <row r="11" spans="5:11" x14ac:dyDescent="0.25">
      <c r="E11" s="4">
        <v>0.93663617430047208</v>
      </c>
      <c r="F11" s="4">
        <v>0.70105326225694675</v>
      </c>
      <c r="J11">
        <f>_xlfn.COVARIANCE.P(E5:E14,F5:F14)</f>
        <v>1.0277754241571546E-2</v>
      </c>
    </row>
    <row r="12" spans="5:11" x14ac:dyDescent="0.25">
      <c r="E12" s="4">
        <v>0.22046798158714298</v>
      </c>
      <c r="F12" s="4">
        <v>0.28397955705225042</v>
      </c>
      <c r="J12">
        <f>_xlfn.COVARIANCE.S(E5:E14,F5:F14)</f>
        <v>1.1419726935079496E-2</v>
      </c>
    </row>
    <row r="13" spans="5:11" x14ac:dyDescent="0.25">
      <c r="E13" s="4">
        <v>0.25265608065233613</v>
      </c>
      <c r="F13" s="4">
        <v>0.44790105665357971</v>
      </c>
    </row>
    <row r="14" spans="5:11" x14ac:dyDescent="0.25">
      <c r="E14" s="4">
        <v>0.48628282141516355</v>
      </c>
      <c r="F14" s="4">
        <v>0.80437264835583078</v>
      </c>
    </row>
  </sheetData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1733F6-9143-4E2A-957B-EBD4EA2F3945}">
  <dimension ref="D1:O16"/>
  <sheetViews>
    <sheetView workbookViewId="0">
      <selection activeCell="F10" sqref="F10"/>
    </sheetView>
  </sheetViews>
  <sheetFormatPr defaultRowHeight="15" x14ac:dyDescent="0.25"/>
  <cols>
    <col min="9" max="9" width="19" customWidth="1"/>
  </cols>
  <sheetData>
    <row r="1" spans="4:15" x14ac:dyDescent="0.25">
      <c r="F1" s="217">
        <v>1000</v>
      </c>
      <c r="G1" s="218"/>
    </row>
    <row r="2" spans="4:15" x14ac:dyDescent="0.25">
      <c r="F2" s="8">
        <v>0.01</v>
      </c>
      <c r="G2" s="8">
        <v>0.99</v>
      </c>
    </row>
    <row r="3" spans="4:15" x14ac:dyDescent="0.25">
      <c r="I3" t="s">
        <v>32</v>
      </c>
      <c r="J3">
        <v>8250</v>
      </c>
    </row>
    <row r="4" spans="4:15" x14ac:dyDescent="0.25">
      <c r="D4" s="7"/>
      <c r="E4" s="8"/>
      <c r="F4" s="8" t="s">
        <v>27</v>
      </c>
      <c r="G4" s="8" t="s">
        <v>28</v>
      </c>
      <c r="I4" t="s">
        <v>33</v>
      </c>
      <c r="J4">
        <f>F2*F9+G2*G9</f>
        <v>94.55</v>
      </c>
    </row>
    <row r="5" spans="4:15" x14ac:dyDescent="0.25">
      <c r="D5" s="7"/>
      <c r="E5" s="8">
        <v>0.2</v>
      </c>
      <c r="F5" s="8">
        <v>-50</v>
      </c>
      <c r="G5" s="8">
        <v>-200</v>
      </c>
      <c r="I5" t="s">
        <v>34</v>
      </c>
      <c r="J5" t="e">
        <f>SQRT((F2^2)*(F10^2)+(G2^2*G10^2)+2*F2*G2*J3)</f>
        <v>#VALUE!</v>
      </c>
      <c r="M5">
        <v>1700</v>
      </c>
    </row>
    <row r="6" spans="4:15" x14ac:dyDescent="0.25">
      <c r="D6" s="7"/>
      <c r="E6" s="8">
        <v>0.5</v>
      </c>
      <c r="F6" s="8">
        <v>50</v>
      </c>
      <c r="G6" s="8">
        <v>600</v>
      </c>
      <c r="M6">
        <v>450</v>
      </c>
      <c r="N6">
        <f>M5-M6</f>
        <v>1250</v>
      </c>
    </row>
    <row r="7" spans="4:15" x14ac:dyDescent="0.25">
      <c r="D7" s="7"/>
      <c r="E7" s="8">
        <v>0.3</v>
      </c>
      <c r="F7" s="8">
        <v>100</v>
      </c>
      <c r="G7" s="8">
        <v>350</v>
      </c>
      <c r="M7">
        <f>M6/M5</f>
        <v>0.26470588235294118</v>
      </c>
      <c r="N7">
        <f>N6/M5</f>
        <v>0.73529411764705888</v>
      </c>
      <c r="O7">
        <f>M7+N7</f>
        <v>1</v>
      </c>
    </row>
    <row r="8" spans="4:15" x14ac:dyDescent="0.25">
      <c r="D8" s="7"/>
      <c r="E8" s="7"/>
      <c r="F8" s="7"/>
      <c r="G8" s="7"/>
    </row>
    <row r="9" spans="4:15" x14ac:dyDescent="0.25">
      <c r="D9" s="8" t="s">
        <v>30</v>
      </c>
      <c r="E9" s="8" t="s">
        <v>29</v>
      </c>
      <c r="F9" s="9">
        <v>50</v>
      </c>
      <c r="G9" s="9">
        <v>95</v>
      </c>
    </row>
    <row r="10" spans="4:15" x14ac:dyDescent="0.25">
      <c r="D10" s="8" t="s">
        <v>31</v>
      </c>
      <c r="E10" s="8" t="s">
        <v>3</v>
      </c>
      <c r="F10" s="10" t="s">
        <v>408</v>
      </c>
      <c r="G10" s="10">
        <v>193.71</v>
      </c>
    </row>
    <row r="15" spans="4:15" x14ac:dyDescent="0.25">
      <c r="G15">
        <f>AVERAGEA(F5:F7)</f>
        <v>33.333333333333336</v>
      </c>
    </row>
    <row r="16" spans="4:15" x14ac:dyDescent="0.25">
      <c r="G16">
        <f>AVERAGE(F5:F7)</f>
        <v>33.333333333333336</v>
      </c>
    </row>
  </sheetData>
  <mergeCells count="1">
    <mergeCell ref="F1:G1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7E9F87-B88C-4739-A6E9-08D96A7257F5}">
  <dimension ref="D3:M16"/>
  <sheetViews>
    <sheetView workbookViewId="0">
      <selection activeCell="L5" sqref="L5"/>
    </sheetView>
  </sheetViews>
  <sheetFormatPr defaultRowHeight="15" x14ac:dyDescent="0.25"/>
  <cols>
    <col min="9" max="9" width="14.42578125" customWidth="1"/>
    <col min="10" max="10" width="11" customWidth="1"/>
    <col min="11" max="11" width="14" customWidth="1"/>
  </cols>
  <sheetData>
    <row r="3" spans="4:13" x14ac:dyDescent="0.25">
      <c r="D3" s="8"/>
      <c r="E3" s="8" t="s">
        <v>35</v>
      </c>
      <c r="F3" s="8" t="s">
        <v>27</v>
      </c>
      <c r="G3" s="8" t="s">
        <v>28</v>
      </c>
      <c r="I3" s="4">
        <f>(F4-$F$9)*(G4-$G$9)*E4</f>
        <v>-760</v>
      </c>
      <c r="J3" s="4"/>
      <c r="K3" s="11" t="s">
        <v>36</v>
      </c>
      <c r="L3" s="4">
        <v>-1300</v>
      </c>
      <c r="M3" s="4"/>
    </row>
    <row r="4" spans="4:13" x14ac:dyDescent="0.25">
      <c r="D4" s="8"/>
      <c r="E4" s="8">
        <v>0.2</v>
      </c>
      <c r="F4" s="8">
        <v>-100</v>
      </c>
      <c r="G4" s="8">
        <v>50</v>
      </c>
      <c r="I4" s="4">
        <f>(F5-$F$9)*(G5-$G$9)*E5</f>
        <v>0</v>
      </c>
      <c r="J4" s="4"/>
      <c r="K4" s="4" t="s">
        <v>33</v>
      </c>
      <c r="L4" s="4">
        <f>K12*F9+L12*G9</f>
        <v>60</v>
      </c>
      <c r="M4" s="4"/>
    </row>
    <row r="5" spans="4:13" x14ac:dyDescent="0.25">
      <c r="D5" s="8"/>
      <c r="E5" s="8">
        <v>0.4</v>
      </c>
      <c r="F5" s="8">
        <v>50</v>
      </c>
      <c r="G5" s="8">
        <v>30</v>
      </c>
      <c r="I5" s="4">
        <f>(F6-$F$9)*(G6-$G$9)*E6</f>
        <v>-330</v>
      </c>
      <c r="J5" s="4"/>
      <c r="K5" s="4" t="s">
        <v>34</v>
      </c>
      <c r="L5" s="4">
        <f>SQRT(K12^2*F10 + L12^2*G10 + 2*K12*L12*L3)</f>
        <v>57.922361830298321</v>
      </c>
      <c r="M5" s="4"/>
    </row>
    <row r="6" spans="4:13" x14ac:dyDescent="0.25">
      <c r="D6" s="8"/>
      <c r="E6" s="8">
        <v>0.3</v>
      </c>
      <c r="F6" s="8">
        <v>200</v>
      </c>
      <c r="G6" s="8">
        <v>20</v>
      </c>
      <c r="I6" s="4">
        <f>(F7-$F$9)*(G7-$G$9)*E7</f>
        <v>-210</v>
      </c>
      <c r="J6" s="4"/>
      <c r="K6" s="4"/>
      <c r="L6" s="4"/>
      <c r="M6" s="4"/>
    </row>
    <row r="7" spans="4:13" x14ac:dyDescent="0.25">
      <c r="D7" s="8"/>
      <c r="E7" s="8">
        <v>0.1</v>
      </c>
      <c r="F7" s="8">
        <v>300</v>
      </c>
      <c r="G7" s="8">
        <v>20</v>
      </c>
      <c r="I7" s="4">
        <f>SUM(I3:I6)</f>
        <v>-1300</v>
      </c>
      <c r="J7" s="4"/>
      <c r="K7" s="4"/>
      <c r="L7" s="4"/>
      <c r="M7" s="4"/>
    </row>
    <row r="8" spans="4:13" x14ac:dyDescent="0.25">
      <c r="D8" s="8"/>
      <c r="E8" s="8"/>
      <c r="F8" s="8"/>
      <c r="G8" s="8"/>
    </row>
    <row r="9" spans="4:13" x14ac:dyDescent="0.25">
      <c r="D9" s="8" t="s">
        <v>30</v>
      </c>
      <c r="E9" s="8" t="s">
        <v>2</v>
      </c>
      <c r="F9" s="8">
        <f>$E$4*F4+$E$5*F5+$E$6*F6+$E$7*F7</f>
        <v>90</v>
      </c>
      <c r="G9" s="8">
        <f>$E$4*G4+$E$5*G5+$E$6*G6+$E$7*G7</f>
        <v>30</v>
      </c>
    </row>
    <row r="10" spans="4:13" x14ac:dyDescent="0.25">
      <c r="D10" s="8" t="s">
        <v>31</v>
      </c>
      <c r="E10" s="8" t="s">
        <v>26</v>
      </c>
      <c r="F10" s="8">
        <v>15900</v>
      </c>
      <c r="G10" s="8">
        <v>120</v>
      </c>
    </row>
    <row r="11" spans="4:13" x14ac:dyDescent="0.25">
      <c r="D11" s="4"/>
      <c r="E11" s="4"/>
      <c r="F11" s="4">
        <f>(F4-$F$9)^2*E4</f>
        <v>7220</v>
      </c>
      <c r="G11" s="4">
        <f>(G4-$G$9)^2*E4</f>
        <v>80</v>
      </c>
      <c r="K11" s="219">
        <v>10000</v>
      </c>
      <c r="L11" s="219"/>
    </row>
    <row r="12" spans="4:13" x14ac:dyDescent="0.25">
      <c r="D12" s="4"/>
      <c r="E12" s="4"/>
      <c r="F12" s="4">
        <f t="shared" ref="F12:F13" si="0">(F5-$F$9)^2*E5</f>
        <v>640</v>
      </c>
      <c r="G12" s="4">
        <f>(G5-$G$9)^2*E5</f>
        <v>0</v>
      </c>
      <c r="K12" s="4">
        <v>0.5</v>
      </c>
      <c r="L12" s="4">
        <v>0.5</v>
      </c>
    </row>
    <row r="13" spans="4:13" x14ac:dyDescent="0.25">
      <c r="D13" s="4"/>
      <c r="E13" s="4"/>
      <c r="F13" s="4">
        <f t="shared" si="0"/>
        <v>3630</v>
      </c>
      <c r="G13" s="4">
        <f t="shared" ref="G13:G14" si="1">(G6-$G$9)^2*E6</f>
        <v>30</v>
      </c>
    </row>
    <row r="14" spans="4:13" x14ac:dyDescent="0.25">
      <c r="D14" s="4"/>
      <c r="E14" s="4"/>
      <c r="F14" s="4">
        <f>(F7-$F$9)^2*E7</f>
        <v>4410</v>
      </c>
      <c r="G14" s="4">
        <f t="shared" si="1"/>
        <v>10</v>
      </c>
    </row>
    <row r="15" spans="4:13" x14ac:dyDescent="0.25">
      <c r="D15" s="4"/>
      <c r="E15" s="4"/>
      <c r="F15" s="4">
        <f>SUM(F11:F14)</f>
        <v>15900</v>
      </c>
      <c r="G15" s="4">
        <f>SUM(G11:G14)</f>
        <v>120</v>
      </c>
    </row>
    <row r="16" spans="4:13" x14ac:dyDescent="0.25">
      <c r="D16" s="4"/>
      <c r="E16" s="4"/>
      <c r="F16" s="4"/>
      <c r="G16" s="4"/>
    </row>
  </sheetData>
  <mergeCells count="1">
    <mergeCell ref="K11:L11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BD1B4B-6690-4C91-9931-5D825163778C}">
  <dimension ref="E3:U18"/>
  <sheetViews>
    <sheetView topLeftCell="C1" workbookViewId="0">
      <selection activeCell="U4" sqref="U4"/>
    </sheetView>
  </sheetViews>
  <sheetFormatPr defaultRowHeight="15" x14ac:dyDescent="0.25"/>
  <cols>
    <col min="12" max="12" width="10.85546875" customWidth="1"/>
  </cols>
  <sheetData>
    <row r="3" spans="5:21" x14ac:dyDescent="0.25">
      <c r="E3">
        <v>7</v>
      </c>
      <c r="F3">
        <v>1</v>
      </c>
      <c r="G3">
        <v>4</v>
      </c>
      <c r="H3">
        <v>10</v>
      </c>
      <c r="I3">
        <v>10</v>
      </c>
      <c r="J3">
        <v>7</v>
      </c>
      <c r="K3">
        <v>1</v>
      </c>
      <c r="L3">
        <v>10</v>
      </c>
      <c r="M3">
        <v>4</v>
      </c>
      <c r="N3">
        <v>5</v>
      </c>
      <c r="O3">
        <v>9</v>
      </c>
      <c r="P3">
        <v>3</v>
      </c>
      <c r="Q3">
        <v>3</v>
      </c>
      <c r="S3">
        <v>1</v>
      </c>
      <c r="T3">
        <f>COUNTIF($E$3:$Q$15,S3)</f>
        <v>21</v>
      </c>
      <c r="U3" s="13">
        <f>T3/SUM($T$3:$T$12)</f>
        <v>0.1242603550295858</v>
      </c>
    </row>
    <row r="4" spans="5:21" x14ac:dyDescent="0.25">
      <c r="E4">
        <v>9</v>
      </c>
      <c r="F4">
        <v>1</v>
      </c>
      <c r="G4">
        <v>1</v>
      </c>
      <c r="H4">
        <v>9</v>
      </c>
      <c r="I4">
        <v>3</v>
      </c>
      <c r="J4">
        <v>4</v>
      </c>
      <c r="K4">
        <v>6</v>
      </c>
      <c r="L4">
        <v>5</v>
      </c>
      <c r="M4">
        <v>7</v>
      </c>
      <c r="N4">
        <v>9</v>
      </c>
      <c r="O4">
        <v>4</v>
      </c>
      <c r="P4">
        <v>10</v>
      </c>
      <c r="Q4">
        <v>1</v>
      </c>
      <c r="S4">
        <v>2</v>
      </c>
      <c r="T4">
        <f t="shared" ref="T4:T12" si="0">COUNTIF($E$3:$Q$15,S4)</f>
        <v>13</v>
      </c>
      <c r="U4" s="13">
        <f t="shared" ref="U4:U12" si="1">T4/SUM($T$3:$T$12)</f>
        <v>7.6923076923076927E-2</v>
      </c>
    </row>
    <row r="5" spans="5:21" x14ac:dyDescent="0.25">
      <c r="E5">
        <v>6</v>
      </c>
      <c r="F5">
        <v>1</v>
      </c>
      <c r="G5">
        <v>6</v>
      </c>
      <c r="H5">
        <v>5</v>
      </c>
      <c r="I5">
        <v>2</v>
      </c>
      <c r="J5">
        <v>6</v>
      </c>
      <c r="K5">
        <v>9</v>
      </c>
      <c r="L5">
        <v>9</v>
      </c>
      <c r="M5">
        <v>9</v>
      </c>
      <c r="N5">
        <v>3</v>
      </c>
      <c r="O5">
        <v>1</v>
      </c>
      <c r="P5">
        <v>6</v>
      </c>
      <c r="Q5">
        <v>10</v>
      </c>
      <c r="S5">
        <v>3</v>
      </c>
      <c r="T5">
        <f t="shared" si="0"/>
        <v>12</v>
      </c>
      <c r="U5" s="13">
        <f t="shared" si="1"/>
        <v>7.1005917159763315E-2</v>
      </c>
    </row>
    <row r="6" spans="5:21" x14ac:dyDescent="0.25">
      <c r="E6">
        <v>10</v>
      </c>
      <c r="F6">
        <v>3</v>
      </c>
      <c r="G6">
        <v>8</v>
      </c>
      <c r="H6">
        <v>9</v>
      </c>
      <c r="I6">
        <v>10</v>
      </c>
      <c r="J6">
        <v>8</v>
      </c>
      <c r="K6">
        <v>8</v>
      </c>
      <c r="L6">
        <v>8</v>
      </c>
      <c r="M6">
        <v>8</v>
      </c>
      <c r="N6">
        <v>7</v>
      </c>
      <c r="O6">
        <v>10</v>
      </c>
      <c r="P6">
        <v>1</v>
      </c>
      <c r="Q6">
        <v>2</v>
      </c>
      <c r="S6">
        <v>4</v>
      </c>
      <c r="T6">
        <f t="shared" si="0"/>
        <v>23</v>
      </c>
      <c r="U6" s="13">
        <f t="shared" si="1"/>
        <v>0.13609467455621302</v>
      </c>
    </row>
    <row r="7" spans="5:21" x14ac:dyDescent="0.25">
      <c r="E7">
        <v>6</v>
      </c>
      <c r="F7">
        <v>7</v>
      </c>
      <c r="G7">
        <v>6</v>
      </c>
      <c r="H7">
        <v>9</v>
      </c>
      <c r="I7">
        <v>10</v>
      </c>
      <c r="J7">
        <v>10</v>
      </c>
      <c r="K7">
        <v>3</v>
      </c>
      <c r="L7">
        <v>4</v>
      </c>
      <c r="M7">
        <v>10</v>
      </c>
      <c r="N7">
        <v>6</v>
      </c>
      <c r="O7">
        <v>2</v>
      </c>
      <c r="P7">
        <v>1</v>
      </c>
      <c r="Q7">
        <v>9</v>
      </c>
      <c r="S7">
        <v>5</v>
      </c>
      <c r="T7">
        <f t="shared" si="0"/>
        <v>11</v>
      </c>
      <c r="U7" s="13">
        <f t="shared" si="1"/>
        <v>6.5088757396449703E-2</v>
      </c>
    </row>
    <row r="8" spans="5:21" x14ac:dyDescent="0.25">
      <c r="E8">
        <v>6</v>
      </c>
      <c r="F8">
        <v>7</v>
      </c>
      <c r="G8">
        <v>4</v>
      </c>
      <c r="H8">
        <v>10</v>
      </c>
      <c r="I8">
        <v>3</v>
      </c>
      <c r="J8">
        <v>2</v>
      </c>
      <c r="K8">
        <v>6</v>
      </c>
      <c r="L8">
        <v>2</v>
      </c>
      <c r="M8">
        <v>4</v>
      </c>
      <c r="N8">
        <v>7</v>
      </c>
      <c r="O8">
        <v>8</v>
      </c>
      <c r="P8">
        <v>10</v>
      </c>
      <c r="Q8">
        <v>3</v>
      </c>
      <c r="S8">
        <v>6</v>
      </c>
      <c r="T8">
        <f t="shared" si="0"/>
        <v>16</v>
      </c>
      <c r="U8" s="13">
        <f t="shared" si="1"/>
        <v>9.4674556213017749E-2</v>
      </c>
    </row>
    <row r="9" spans="5:21" x14ac:dyDescent="0.25">
      <c r="E9">
        <v>2</v>
      </c>
      <c r="F9">
        <v>6</v>
      </c>
      <c r="G9">
        <v>4</v>
      </c>
      <c r="H9">
        <v>9</v>
      </c>
      <c r="I9">
        <v>6</v>
      </c>
      <c r="J9">
        <v>1</v>
      </c>
      <c r="K9">
        <v>1</v>
      </c>
      <c r="L9">
        <v>10</v>
      </c>
      <c r="M9">
        <v>10</v>
      </c>
      <c r="N9">
        <v>4</v>
      </c>
      <c r="O9">
        <v>6</v>
      </c>
      <c r="P9">
        <v>9</v>
      </c>
      <c r="Q9">
        <v>2</v>
      </c>
      <c r="S9">
        <v>7</v>
      </c>
      <c r="T9">
        <f t="shared" si="0"/>
        <v>19</v>
      </c>
      <c r="U9" s="13">
        <f t="shared" si="1"/>
        <v>0.11242603550295859</v>
      </c>
    </row>
    <row r="10" spans="5:21" x14ac:dyDescent="0.25">
      <c r="E10">
        <v>5</v>
      </c>
      <c r="F10">
        <v>7</v>
      </c>
      <c r="G10">
        <v>4</v>
      </c>
      <c r="H10">
        <v>7</v>
      </c>
      <c r="I10">
        <v>7</v>
      </c>
      <c r="J10">
        <v>9</v>
      </c>
      <c r="K10">
        <v>6</v>
      </c>
      <c r="L10">
        <v>1</v>
      </c>
      <c r="M10">
        <v>5</v>
      </c>
      <c r="N10">
        <v>7</v>
      </c>
      <c r="O10">
        <v>2</v>
      </c>
      <c r="P10">
        <v>4</v>
      </c>
      <c r="Q10">
        <v>9</v>
      </c>
      <c r="S10">
        <v>8</v>
      </c>
      <c r="T10">
        <f t="shared" si="0"/>
        <v>12</v>
      </c>
      <c r="U10" s="13">
        <f t="shared" si="1"/>
        <v>7.1005917159763315E-2</v>
      </c>
    </row>
    <row r="11" spans="5:21" x14ac:dyDescent="0.25">
      <c r="E11">
        <v>3</v>
      </c>
      <c r="F11">
        <v>9</v>
      </c>
      <c r="G11">
        <v>7</v>
      </c>
      <c r="H11">
        <v>2</v>
      </c>
      <c r="I11">
        <v>7</v>
      </c>
      <c r="J11">
        <v>9</v>
      </c>
      <c r="K11">
        <v>10</v>
      </c>
      <c r="L11">
        <v>7</v>
      </c>
      <c r="M11">
        <v>5</v>
      </c>
      <c r="N11">
        <v>4</v>
      </c>
      <c r="O11">
        <v>7</v>
      </c>
      <c r="P11">
        <v>7</v>
      </c>
      <c r="Q11">
        <v>10</v>
      </c>
      <c r="S11">
        <v>9</v>
      </c>
      <c r="T11">
        <f t="shared" si="0"/>
        <v>18</v>
      </c>
      <c r="U11" s="13">
        <f t="shared" si="1"/>
        <v>0.10650887573964497</v>
      </c>
    </row>
    <row r="12" spans="5:21" x14ac:dyDescent="0.25">
      <c r="E12">
        <v>1</v>
      </c>
      <c r="F12">
        <v>1</v>
      </c>
      <c r="G12">
        <v>4</v>
      </c>
      <c r="H12">
        <v>5</v>
      </c>
      <c r="I12">
        <v>4</v>
      </c>
      <c r="J12">
        <v>2</v>
      </c>
      <c r="K12">
        <v>4</v>
      </c>
      <c r="L12">
        <v>10</v>
      </c>
      <c r="M12">
        <v>9</v>
      </c>
      <c r="N12">
        <v>1</v>
      </c>
      <c r="O12">
        <v>2</v>
      </c>
      <c r="P12">
        <v>1</v>
      </c>
      <c r="Q12">
        <v>6</v>
      </c>
      <c r="S12">
        <v>10</v>
      </c>
      <c r="T12">
        <f t="shared" si="0"/>
        <v>24</v>
      </c>
      <c r="U12" s="13">
        <f t="shared" si="1"/>
        <v>0.14201183431952663</v>
      </c>
    </row>
    <row r="13" spans="5:21" x14ac:dyDescent="0.25">
      <c r="E13">
        <v>4</v>
      </c>
      <c r="F13">
        <v>10</v>
      </c>
      <c r="G13">
        <v>2</v>
      </c>
      <c r="H13">
        <v>5</v>
      </c>
      <c r="I13">
        <v>4</v>
      </c>
      <c r="J13">
        <v>1</v>
      </c>
      <c r="K13">
        <v>3</v>
      </c>
      <c r="L13">
        <v>8</v>
      </c>
      <c r="M13">
        <v>4</v>
      </c>
      <c r="N13">
        <v>7</v>
      </c>
      <c r="O13">
        <v>10</v>
      </c>
      <c r="P13">
        <v>1</v>
      </c>
      <c r="Q13">
        <v>2</v>
      </c>
    </row>
    <row r="14" spans="5:21" x14ac:dyDescent="0.25">
      <c r="E14">
        <v>7</v>
      </c>
      <c r="F14">
        <v>10</v>
      </c>
      <c r="G14">
        <v>1</v>
      </c>
      <c r="H14">
        <v>5</v>
      </c>
      <c r="I14">
        <v>1</v>
      </c>
      <c r="J14">
        <v>3</v>
      </c>
      <c r="K14">
        <v>1</v>
      </c>
      <c r="L14">
        <v>9</v>
      </c>
      <c r="M14">
        <v>5</v>
      </c>
      <c r="N14">
        <v>4</v>
      </c>
      <c r="O14">
        <v>8</v>
      </c>
      <c r="P14">
        <v>8</v>
      </c>
      <c r="Q14">
        <v>4</v>
      </c>
    </row>
    <row r="15" spans="5:21" x14ac:dyDescent="0.25">
      <c r="E15">
        <v>4</v>
      </c>
      <c r="F15">
        <v>5</v>
      </c>
      <c r="G15">
        <v>10</v>
      </c>
      <c r="H15">
        <v>4</v>
      </c>
      <c r="I15">
        <v>4</v>
      </c>
      <c r="J15">
        <v>8</v>
      </c>
      <c r="K15">
        <v>8</v>
      </c>
      <c r="L15">
        <v>3</v>
      </c>
      <c r="M15">
        <v>10</v>
      </c>
      <c r="N15">
        <v>10</v>
      </c>
      <c r="O15">
        <v>7</v>
      </c>
      <c r="P15">
        <v>6</v>
      </c>
      <c r="Q15">
        <v>8</v>
      </c>
    </row>
    <row r="18" spans="12:12" x14ac:dyDescent="0.25">
      <c r="L18" t="e">
        <f>_xlfn.BINOM.DIST(5,1,0.2,10)</f>
        <v>#NUM!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Y D A A B Q S w M E F A A C A A g A L H m G V + n 8 W i q m A A A A + A A A A B I A H A B D b 2 5 m a W c v U G F j a 2 F n Z S 5 4 b W w g o h g A K K A U A A A A A A A A A A A A A A A A A A A A A A A A A A A A h Y 8 x D o I w G E a v Q r r T F s R A y E 8 Z X C U x I R r X p l R o h G J o s d z N w S N 5 B U k U d X P 8 X t 7 w v s f t D v n U t d 5 V D k b 1 O k M B p s i T W v S V 0 n W G R n v y E 5 Q z 2 H F x 5 r X 0 Z l m b d D J V h h p r L y k h z j n s V r g f a h J S G p B j s S 1 F I z u O P r L 6 L / t K G 8 u 1 k I j B 4 R X D Q h w n e B 1 H F E d J A G T B U C j 9 V c K 5 G F M g P x A 2 Y 2 v H Q T K p / X 0 J Z J l A 3 i / Y E 1 B L A w Q U A A I A C A A s e Y Z X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L H m G V y i K R 7 g O A A A A E Q A A A B M A H A B G b 3 J t d W x h c y 9 T Z W N 0 a W 9 u M S 5 t I K I Y A C i g F A A A A A A A A A A A A A A A A A A A A A A A A A A A A C t O T S 7 J z M 9 T C I b Q h t Y A U E s B A i 0 A F A A C A A g A L H m G V + n 8 W i q m A A A A + A A A A B I A A A A A A A A A A A A A A A A A A A A A A E N v b m Z p Z y 9 Q Y W N r Y W d l L n h t b F B L A Q I t A B Q A A g A I A C x 5 h l c P y u m r p A A A A O k A A A A T A A A A A A A A A A A A A A A A A P I A A A B b Q 2 9 u d G V u d F 9 U e X B l c 1 0 u e G 1 s U E s B A i 0 A F A A C A A g A L H m G V y i K R 7 g O A A A A E Q A A A B M A A A A A A A A A A A A A A A A A 4 w E A A E Z v c m 1 1 b G F z L 1 N l Y 3 R p b 2 4 x L m 1 Q S w U G A A A A A A M A A w D C A A A A P g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w E A A A A A A A B 1 A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N A V x a 3 R s n p B m a 9 9 C i u c C 8 g A A A A A A g A A A A A A E G Y A A A A B A A A g A A A A D x n n M k A i S N K x d H X O M 0 r F q g U a / c P z I f t m W D 0 O d i J B t + 4 A A A A A D o A A A A A C A A A g A A A A v C t Y + E j T k 1 i y + Y c o u D f 2 u A 5 q u P 3 8 e W K E i E e a y S L T D U B Q A A A A p 5 O 5 j n F p x y O 2 3 5 d z v 9 4 w i d b q w b U A S X b L t e b O n W 4 P i g k h U 2 2 C h M n o + B C O C z k p 9 I 7 Q b 9 m 7 q M R 2 l / Y F K 2 + D V / y Q l Z 4 q E G z a c R X 6 U n o 9 v E u z p 0 V A A A A A t c 1 S B A B v 0 j z 0 g 9 A v l V r O T m E E 4 l + u B L X S d 7 U 3 z V x u U w 9 m a H 6 u Q U x j + B H f P W 1 W 6 o 8 3 I L A 8 K x b w C w R t S 7 Q 4 p O z 0 H g = = < / D a t a M a s h u p > 
</file>

<file path=customXml/itemProps1.xml><?xml version="1.0" encoding="utf-8"?>
<ds:datastoreItem xmlns:ds="http://schemas.openxmlformats.org/officeDocument/2006/customXml" ds:itemID="{0113751A-4D74-4697-9E35-D371DC19159D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50</vt:i4>
      </vt:variant>
    </vt:vector>
  </HeadingPairs>
  <TitlesOfParts>
    <vt:vector size="50" baseType="lpstr">
      <vt:lpstr>general formulas</vt:lpstr>
      <vt:lpstr>z-score</vt:lpstr>
      <vt:lpstr>data_analitics</vt:lpstr>
      <vt:lpstr>varian.,stdev.,covar. formulas</vt:lpstr>
      <vt:lpstr>correlation</vt:lpstr>
      <vt:lpstr>covariance</vt:lpstr>
      <vt:lpstr>portfolio_risk</vt:lpstr>
      <vt:lpstr>portfolio risk</vt:lpstr>
      <vt:lpstr>binom_1 dist</vt:lpstr>
      <vt:lpstr>binom_2 dist</vt:lpstr>
      <vt:lpstr>binom_3 dist</vt:lpstr>
      <vt:lpstr>z-score_2</vt:lpstr>
      <vt:lpstr>poisson dist</vt:lpstr>
      <vt:lpstr>normal dist</vt:lpstr>
      <vt:lpstr>normal dist_2</vt:lpstr>
      <vt:lpstr>sampling_dist</vt:lpstr>
      <vt:lpstr>samp.dist formulas</vt:lpstr>
      <vt:lpstr>Sheet1</vt:lpstr>
      <vt:lpstr>Sheet2</vt:lpstr>
      <vt:lpstr>sampling_dist-2</vt:lpstr>
      <vt:lpstr>confidence interval</vt:lpstr>
      <vt:lpstr>confidence interval formulas</vt:lpstr>
      <vt:lpstr>deter.samp.size</vt:lpstr>
      <vt:lpstr>confidence interval unknown std</vt:lpstr>
      <vt:lpstr>hypot. test two-tail siq. known</vt:lpstr>
      <vt:lpstr>hyp. test two-tail siq. unknown</vt:lpstr>
      <vt:lpstr>hypot. test one-tail siq. known</vt:lpstr>
      <vt:lpstr>hypot. test one-tail siq. kn_2</vt:lpstr>
      <vt:lpstr>two sample hypot. test formulas</vt:lpstr>
      <vt:lpstr>two sample test eq or uneq siq</vt:lpstr>
      <vt:lpstr>paired diffrence test</vt:lpstr>
      <vt:lpstr>ratio of pop varian. f test</vt:lpstr>
      <vt:lpstr>pop. proporton</vt:lpstr>
      <vt:lpstr>pop. proporton_2</vt:lpstr>
      <vt:lpstr>pop. proporton_3</vt:lpstr>
      <vt:lpstr>pop. pro. determin. sample size</vt:lpstr>
      <vt:lpstr>z test fior proportion</vt:lpstr>
      <vt:lpstr>two pop. propor. hypothes. test</vt:lpstr>
      <vt:lpstr>ANOVA formulas</vt:lpstr>
      <vt:lpstr>ANOVA</vt:lpstr>
      <vt:lpstr>Chi-square test-1</vt:lpstr>
      <vt:lpstr>Chi-square test-2</vt:lpstr>
      <vt:lpstr>Chi-square test-3</vt:lpstr>
      <vt:lpstr>LinearRegression_1</vt:lpstr>
      <vt:lpstr>LinearRegression_2</vt:lpstr>
      <vt:lpstr>LinearRegression_Formulas</vt:lpstr>
      <vt:lpstr>Multipl_Regression_1</vt:lpstr>
      <vt:lpstr>Multipl_Regression_Formulas</vt:lpstr>
      <vt:lpstr>Multipl_Regression_2</vt:lpstr>
      <vt:lpstr>SPSS Zscore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User</dc:creator>
  <cp:lastModifiedBy>Windows User</cp:lastModifiedBy>
  <dcterms:created xsi:type="dcterms:W3CDTF">2023-10-31T12:04:02Z</dcterms:created>
  <dcterms:modified xsi:type="dcterms:W3CDTF">2025-05-14T08:13:59Z</dcterms:modified>
</cp:coreProperties>
</file>